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edderich8\Downloads\"/>
    </mc:Choice>
  </mc:AlternateContent>
  <bookViews>
    <workbookView xWindow="0" yWindow="0" windowWidth="28800" windowHeight="10800"/>
  </bookViews>
  <sheets>
    <sheet name="Intro" sheetId="1" r:id="rId1"/>
    <sheet name="Staff" sheetId="2" r:id="rId2"/>
    <sheet name="Students" sheetId="3" r:id="rId3"/>
    <sheet name="IRO" sheetId="4" r:id="rId4"/>
    <sheet name="Budget" sheetId="5" r:id="rId5"/>
    <sheet name="Research" sheetId="6" r:id="rId6"/>
    <sheet name="Education" sheetId="7" r:id="rId7"/>
    <sheet name="Promotion" sheetId="8" r:id="rId8"/>
  </sheets>
  <definedNames>
    <definedName name="_ftnref1" localSheetId="0">Intro!$B$20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5" i="8" l="1"/>
  <c r="M14" i="8"/>
  <c r="M13" i="8"/>
  <c r="M12" i="8"/>
  <c r="M11" i="8"/>
  <c r="M10" i="8"/>
  <c r="M9" i="8"/>
  <c r="M8" i="8"/>
  <c r="M7" i="8"/>
  <c r="W15" i="7"/>
  <c r="W14" i="7"/>
  <c r="W13" i="7"/>
  <c r="W12" i="7"/>
  <c r="W11" i="7"/>
  <c r="W10" i="7"/>
  <c r="W9" i="7"/>
  <c r="W8" i="7"/>
  <c r="W7" i="7"/>
  <c r="W6" i="7"/>
  <c r="M6" i="8" l="1"/>
  <c r="X14" i="6"/>
  <c r="X13" i="6"/>
  <c r="X12" i="6"/>
  <c r="X11" i="6"/>
  <c r="X10" i="6"/>
  <c r="X9" i="6"/>
  <c r="X8" i="6"/>
  <c r="X7" i="6"/>
  <c r="X6" i="6"/>
  <c r="X5" i="6"/>
  <c r="P15" i="5"/>
  <c r="P14" i="5"/>
  <c r="P13" i="5"/>
  <c r="P12" i="5"/>
  <c r="P11" i="5"/>
  <c r="P10" i="5"/>
  <c r="P9" i="5"/>
  <c r="P8" i="5"/>
  <c r="P7" i="5"/>
  <c r="P6" i="5"/>
  <c r="R15" i="4"/>
  <c r="R14" i="4"/>
  <c r="R13" i="4"/>
  <c r="R12" i="4"/>
  <c r="R11" i="4"/>
  <c r="R10" i="4"/>
  <c r="R9" i="4"/>
  <c r="R8" i="4"/>
  <c r="R7" i="4"/>
  <c r="R6" i="4"/>
  <c r="U15" i="3"/>
  <c r="U14" i="3"/>
  <c r="U13" i="3"/>
  <c r="U12" i="3"/>
  <c r="U11" i="3"/>
  <c r="U10" i="3"/>
  <c r="U9" i="3"/>
  <c r="U8" i="3"/>
  <c r="U7" i="3"/>
  <c r="U6" i="3"/>
  <c r="T15" i="2"/>
  <c r="T14" i="2"/>
  <c r="T13" i="2"/>
  <c r="T12" i="2"/>
  <c r="T11" i="2"/>
  <c r="T10" i="2"/>
  <c r="T9" i="2"/>
  <c r="T8" i="2"/>
  <c r="T7" i="2"/>
  <c r="T6" i="2"/>
</calcChain>
</file>

<file path=xl/sharedStrings.xml><?xml version="1.0" encoding="utf-8"?>
<sst xmlns="http://schemas.openxmlformats.org/spreadsheetml/2006/main" count="618" uniqueCount="149">
  <si>
    <t>The self assessment tool builds on the indicator list in WP 1.3. This is elementary since the tool needs to directly relate back to and be in line with the other instruments developed in the project.
Moreover, the questionnaire was already based on previous work on internationalisation, the IMPI Toolbox was developed and was used to select the indicators for the questionnaire. Accordingly, for the input/output part of the tool, the same indicators have to apply. 
However, the self-assessment tool also tries to identify some impact indicators which are not part of the IMPI toolbox.
Each indicator derives from a question in the questionnaire and thus refers to the IMPI Toolbox by means of the IMPI number for that question. If there is no IMPI number indicated, then the question is not a part of the IMPI Toolbox and was developed by the KUL and therefore also the respective indicator is new.
As with the questionnaire, the list combines quantitative and qualitative indicators. However, the definition is slightly different since we cannot use procedural information (how?) for measuring. Thus “quantitative” indicates indicators which can be processed mathematically (e.g. number, percentage) whereas “qualitative” means indicators that can only be assessed in terms of “yes/no”. However, such qualitative indicators can also be turned into quantitative indicators by aggregation (e.g. 10 yes/no questions combined might generate quantitative result options: if 2 out of 10 are answered this translates into a 20% achievement, whereas 8 out of 10 signify an 80 percent success). This is also fully in line with the original methodology of the IMPI Toolbox.
Moreover, it is important that for all quantitative indicators, data from at least 3 years separately (so data for 2014, 2015, 2016 and 2017) is collected so that one can assess development and avoid accidental results from one year. </t>
  </si>
  <si>
    <t>Area</t>
  </si>
  <si>
    <t>IMPI code</t>
  </si>
  <si>
    <t>Concrete indicator</t>
  </si>
  <si>
    <t>Type of indicator</t>
  </si>
  <si>
    <t>Type of measurement</t>
  </si>
  <si>
    <t>input</t>
  </si>
  <si>
    <t>output</t>
  </si>
  <si>
    <t>outcome</t>
  </si>
  <si>
    <t>Mobility</t>
  </si>
  <si>
    <t>Staff</t>
  </si>
  <si>
    <t>Incoming</t>
  </si>
  <si>
    <t>02-004</t>
  </si>
  <si>
    <t>Existence of a defined institutional strategy to develop the participation of staff in internationalisation activities</t>
  </si>
  <si>
    <t>x</t>
  </si>
  <si>
    <t>Yes/no</t>
  </si>
  <si>
    <t>02-026</t>
  </si>
  <si>
    <t>Number of different nationalities represented in institution’s staff body comprise/Number of different countries of origin of staff (differentiating permanent and contract-based staff) in 2014-17</t>
  </si>
  <si>
    <t>absolute number</t>
  </si>
  <si>
    <t>02-047</t>
  </si>
  <si>
    <t>Visiting staff members from abroad as proportion of all academic staff members in 2014-17</t>
  </si>
  <si>
    <t>percentage</t>
  </si>
  <si>
    <r>
      <t>Development of percentage of international</t>
    </r>
    <r>
      <rPr>
        <sz val="10"/>
        <color theme="1"/>
        <rFont val="Times New Roman"/>
        <family val="1"/>
      </rPr>
      <t> </t>
    </r>
    <r>
      <rPr>
        <sz val="10"/>
        <color theme="1"/>
        <rFont val="Calibri"/>
        <family val="2"/>
      </rPr>
      <t xml:space="preserve"> staff from 2014 to 2017</t>
    </r>
  </si>
  <si>
    <t>Outgoing</t>
  </si>
  <si>
    <t>02-022</t>
  </si>
  <si>
    <t>Proportion of staff that took part in an exchange programme abroad (2014-17)</t>
  </si>
  <si>
    <t>02-030</t>
  </si>
  <si>
    <t>Proportion of academic staff members that attended at least one international conference or seminar (2014-2017)</t>
  </si>
  <si>
    <t>02-032</t>
  </si>
  <si>
    <t>Proportion of academic staff members, that were members of at least one international academic or professional association (2014-2017)</t>
  </si>
  <si>
    <t>Development of percentage of academic staff attending at least one international conference or seminar from 2014-2017</t>
  </si>
  <si>
    <r>
      <t>percentage</t>
    </r>
    <r>
      <rPr>
        <sz val="10"/>
        <color theme="1"/>
        <rFont val="Times New Roman"/>
        <family val="1"/>
      </rPr>
      <t> </t>
    </r>
  </si>
  <si>
    <t>Students</t>
  </si>
  <si>
    <t>01-001</t>
  </si>
  <si>
    <t>Existence of institutional advise structure for students on study abroad opportunities</t>
  </si>
  <si>
    <t>01-003</t>
  </si>
  <si>
    <t>Proportion of students that participated in outgoing exchange or mobility programmes (2014-2017)</t>
  </si>
  <si>
    <t>01-004</t>
  </si>
  <si>
    <t>Proportion of all students that undertook studies abroad (2014-2017)</t>
  </si>
  <si>
    <t>Development of proportion of students that participated in outgoing exchange or mobility programmes (2014-2017)</t>
  </si>
  <si>
    <t>Development of proportion of all students that undertook studies abroad (2014-2017)</t>
  </si>
  <si>
    <t>01-023</t>
  </si>
  <si>
    <t>Existence of institutional international alumni database</t>
  </si>
  <si>
    <t>01-008</t>
  </si>
  <si>
    <t>Proportion of international students among all students who graduated from the institution (2014-2017)</t>
  </si>
  <si>
    <t>01-012)</t>
  </si>
  <si>
    <t>Number of different countries of origin of international students at institution (2014-2017)</t>
  </si>
  <si>
    <t>Development of proportion of international students among all students who graduated from the institution (2014-2017)</t>
  </si>
  <si>
    <t>Development of number of different countries of origin of international students at institution (2014-2017)</t>
  </si>
  <si>
    <t>International Office</t>
  </si>
  <si>
    <t>Strategy</t>
  </si>
  <si>
    <t>02-093</t>
  </si>
  <si>
    <t>Implementation of incentives to further/encourage internationalisation activities by institution’s staff members</t>
  </si>
  <si>
    <t>03-001</t>
  </si>
  <si>
    <t>Existence of a clearly defined strategy for internationalisation</t>
  </si>
  <si>
    <t>Existence of marketing strategies for internationalisation and staff/student recruitment</t>
  </si>
  <si>
    <t>Number of signed Memoranda of Understanding (2014-2017)</t>
  </si>
  <si>
    <t>Percentage of signed MoUs that are active (2014-2017)</t>
  </si>
  <si>
    <t>03-009</t>
  </si>
  <si>
    <t>Existence of a specific organisational structure to support internationalisation</t>
  </si>
  <si>
    <t>Development of share of active MoUs (2014-2017)</t>
  </si>
  <si>
    <t>Budget and Grants</t>
  </si>
  <si>
    <t>Existence of a budget allocated specifically to internationalisation</t>
  </si>
  <si>
    <t>Amount of internationalisation budget (2014-2017)</t>
  </si>
  <si>
    <t>Share of the budget for internationalisation within the overall budget (2014-2017)</t>
  </si>
  <si>
    <t>Development of share of the internationalisation budget within the overall budget (2014-2017)</t>
  </si>
  <si>
    <t>Development of amount of internationalisation budget (2014-2017)</t>
  </si>
  <si>
    <t>Research</t>
  </si>
  <si>
    <t>Publications / citations</t>
  </si>
  <si>
    <t>Access to international research papers and journals offered by the institution</t>
  </si>
  <si>
    <t>If yes, highest impact factor of a journal the institution has access to</t>
  </si>
  <si>
    <t>06-027</t>
  </si>
  <si>
    <t>Proportion of published pieces (books, journal issues, articles, etc.) that were produced through international collaborative activities involving researchers (2014-2017)</t>
  </si>
  <si>
    <t>Number of international collaborative activities related to research in which the institution was involved (2014-2017)</t>
  </si>
  <si>
    <t>Average length of these activities (for projects that started in 2014-2017 respectively)</t>
  </si>
  <si>
    <t>06-037</t>
  </si>
  <si>
    <t>Total number of international citations per paper for pieces authored (or co-authored) by researchers at the institution (2014-2017)</t>
  </si>
  <si>
    <t>X</t>
  </si>
  <si>
    <t>Average H-index of an academic at the institution (2014-2017)</t>
  </si>
  <si>
    <t>Development of highest impact factor of a journal the institution has access to</t>
  </si>
  <si>
    <t>Development of proportion of published pieces (books, journal issues, articles, etc.) that were produced through international collaborative activities involving researchers (2014-2017)</t>
  </si>
  <si>
    <t>Development of number of international collaborative activities related to research in which the institution was involved (2014-2017)</t>
  </si>
  <si>
    <t>Development of average length of these activities (for projects that started in 2014-2017 respectively)</t>
  </si>
  <si>
    <t>Development of total number of international citations per paper for pieces authored (or co-authored) by researchers at the institution (2014-2017)</t>
  </si>
  <si>
    <t>Development of average H-index of an academic at the institution (2014-2017)</t>
  </si>
  <si>
    <t>Education</t>
  </si>
  <si>
    <t>Curricula, Recognition of English-taught programmes</t>
  </si>
  <si>
    <t>05-039</t>
  </si>
  <si>
    <t xml:space="preserve">Proportion of Master’s programmes taught wholly in a foreign or second language out of all Master’s programmes offered (2014-2017) </t>
  </si>
  <si>
    <t>Organisation of summer school programmes, language courses included</t>
  </si>
  <si>
    <t>Number of participants per summer course (2014-2017)</t>
  </si>
  <si>
    <t>05-056</t>
  </si>
  <si>
    <t xml:space="preserve">Number of summer programmes that were participated in by international researchers/students/staff members out of all summer school programmes offered (2014-2017) </t>
  </si>
  <si>
    <t>Implementation of the Bologna system for ECTS in the curriculum programs</t>
  </si>
  <si>
    <t>Development of number of participants per summer course (2014-2017)</t>
  </si>
  <si>
    <t xml:space="preserve">Development of number of summer programmes that were participated in by international researchers/students/staff members out of all summer school programmes offered (2014-2017) </t>
  </si>
  <si>
    <t>Joint / double degrees / Co-tutelles</t>
  </si>
  <si>
    <t>05-021</t>
  </si>
  <si>
    <t>Proportion of international joint/double/multiple degree programmes or co-tutelles offers at Master’s level</t>
  </si>
  <si>
    <t>Proportion of international joint/double/multiple degree programmes or co-tutelles offers at PhD- level</t>
  </si>
  <si>
    <t>Existence of legislation supporting the organisation of joint/double/multiple degree programmes</t>
  </si>
  <si>
    <t>Development of proportion of international joint/double/multiple degree programmes or co-tutelles offers at Master’s level</t>
  </si>
  <si>
    <t>Development of proportion of international joint/double/multiple degree programmes or co-tutelles offers at PhD- level</t>
  </si>
  <si>
    <t>Promotion of the institution</t>
  </si>
  <si>
    <t>07-001</t>
  </si>
  <si>
    <t>Does your institution have a defined strategy for international communication, promotion, and marketing</t>
  </si>
  <si>
    <t>07-005</t>
  </si>
  <si>
    <t>Does your institution provide webpages for international students in at least one foreign language</t>
  </si>
  <si>
    <r>
      <t> </t>
    </r>
    <r>
      <rPr>
        <sz val="10"/>
        <color theme="1"/>
        <rFont val="Times New Roman"/>
        <family val="1"/>
      </rPr>
      <t>Calculated by us using the data!</t>
    </r>
  </si>
  <si>
    <r>
      <t> </t>
    </r>
    <r>
      <rPr>
        <sz val="10"/>
        <color theme="1"/>
        <rFont val="Times New Roman"/>
        <family val="1"/>
      </rPr>
      <t>As above</t>
    </r>
  </si>
  <si>
    <r>
      <t> </t>
    </r>
    <r>
      <rPr>
        <sz val="10"/>
        <color theme="1"/>
        <rFont val="Times New Roman"/>
        <family val="1"/>
      </rPr>
      <t>Calculated by us</t>
    </r>
  </si>
  <si>
    <r>
      <t> </t>
    </r>
    <r>
      <rPr>
        <sz val="10"/>
        <color theme="1"/>
        <rFont val="Times New Roman"/>
        <family val="1"/>
      </rPr>
      <t>We calculate this</t>
    </r>
  </si>
  <si>
    <r>
      <t> </t>
    </r>
    <r>
      <rPr>
        <sz val="10"/>
        <color theme="1"/>
        <rFont val="Times New Roman"/>
        <family val="1"/>
      </rPr>
      <t>Calculated bs us</t>
    </r>
  </si>
  <si>
    <t>Data</t>
  </si>
  <si>
    <t xml:space="preserve">Erbil Polytechnic University </t>
  </si>
  <si>
    <t>Charmo University</t>
  </si>
  <si>
    <t>Duhok Polytechnic University</t>
  </si>
  <si>
    <t>Halabja University</t>
  </si>
  <si>
    <t>Kurdistan Institution of Strategic Studies and Scientific Research (KISSR)</t>
  </si>
  <si>
    <t>Sulaimani Polytechnic University</t>
  </si>
  <si>
    <t>University of Raparin</t>
  </si>
  <si>
    <t>Salahaddin University – Erbil</t>
  </si>
  <si>
    <t>University of Sulaimani</t>
  </si>
  <si>
    <t>Kurdish Average</t>
  </si>
  <si>
    <t>yes</t>
  </si>
  <si>
    <t>no</t>
  </si>
  <si>
    <t>Coding</t>
  </si>
  <si>
    <t>yes/no</t>
  </si>
  <si>
    <t>numeric</t>
  </si>
  <si>
    <t xml:space="preserve">"-" </t>
  </si>
  <si>
    <t>high</t>
  </si>
  <si>
    <t>medium</t>
  </si>
  <si>
    <t>low</t>
  </si>
  <si>
    <t>Visiting staff members from abroad as proportion of all academic staff members in 2014-17 (%)</t>
  </si>
  <si>
    <r>
      <t>Development of percentage of international</t>
    </r>
    <r>
      <rPr>
        <sz val="10"/>
        <color theme="1"/>
        <rFont val="Times New Roman"/>
        <family val="1"/>
      </rPr>
      <t> </t>
    </r>
    <r>
      <rPr>
        <sz val="10"/>
        <color theme="1"/>
        <rFont val="Calibri"/>
        <family val="2"/>
      </rPr>
      <t xml:space="preserve"> staff from 2014 to 2017 (%)</t>
    </r>
  </si>
  <si>
    <t>Proportion of academic staff members that attended at least one international conference or seminar (2014-2017) (%)</t>
  </si>
  <si>
    <t>Proportion of staff that took part in an exchange programme abroad (2014-17) (%)</t>
  </si>
  <si>
    <t>Proportion of academic staff members, that were members of at least one international academic or professional association (2014-2017) (%)</t>
  </si>
  <si>
    <t>Development of percentage of academic staff attending at least one international conference or seminar from 2014-2017 (%)</t>
  </si>
  <si>
    <t>Proportion of students that participated in outgoing exchange or mobility programmes (2014-2017) (%)</t>
  </si>
  <si>
    <t>Proportion of all students that undertook studies abroad (2014-2017) (%)</t>
  </si>
  <si>
    <t>Overall rating</t>
  </si>
  <si>
    <t>very unlikely H Index value</t>
  </si>
  <si>
    <t>very unlikely H Index value &amp; citation number</t>
  </si>
  <si>
    <t>very unlikely citation number</t>
  </si>
  <si>
    <t>heavily biased by doubtful answers of some</t>
  </si>
  <si>
    <t>Indicators defined in the List of Indicators (WP1.3)</t>
  </si>
  <si>
    <t>Self-assessment tool for benchmarking and establishing the level of internationalisation evel of internationalisation of Kurdish 
HEI partners</t>
  </si>
  <si>
    <t>Erasmus+ CBHE Project TIGRIS (586290-EPP-1-2017-1-DE-EPPKA2-CBHE-SP)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</si>
</sst>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6" x14ac:knownFonts="1">
    <font>
      <sz val="12"/>
      <color theme="1"/>
      <name val="Calibri"/>
      <family val="2"/>
      <charset val="238"/>
      <scheme val="minor"/>
    </font>
    <font>
      <sz val="12"/>
      <color theme="1"/>
      <name val="Calibri"/>
      <family val="2"/>
      <charset val="238"/>
      <scheme val="minor"/>
    </font>
    <font>
      <sz val="10"/>
      <color theme="1"/>
      <name val="Times New Roman"/>
      <family val="1"/>
    </font>
    <font>
      <b/>
      <sz val="10"/>
      <color theme="1"/>
      <name val="Calibri"/>
      <family val="2"/>
    </font>
    <font>
      <i/>
      <sz val="10"/>
      <color theme="1"/>
      <name val="Calibri"/>
      <family val="2"/>
    </font>
    <font>
      <sz val="10"/>
      <color theme="1"/>
      <name val="Calibri"/>
      <family val="2"/>
    </font>
    <font>
      <i/>
      <sz val="10"/>
      <color rgb="FF002060"/>
      <name val="Calibri"/>
      <family val="2"/>
    </font>
    <font>
      <sz val="8"/>
      <color theme="1"/>
      <name val="Times New Roman"/>
      <family val="1"/>
    </font>
    <font>
      <sz val="18"/>
      <color theme="1"/>
      <name val="Calibri"/>
      <family val="2"/>
      <charset val="238"/>
      <scheme val="minor"/>
    </font>
    <font>
      <sz val="10"/>
      <name val="Arial"/>
      <family val="2"/>
    </font>
    <font>
      <b/>
      <sz val="14"/>
      <color theme="1"/>
      <name val="Calibri"/>
      <family val="2"/>
      <scheme val="minor"/>
    </font>
    <font>
      <sz val="10"/>
      <name val="Calibri"/>
      <family val="2"/>
      <scheme val="minor"/>
    </font>
    <font>
      <b/>
      <sz val="11"/>
      <color theme="1"/>
      <name val="Calibri"/>
      <family val="2"/>
      <scheme val="minor"/>
    </font>
    <font>
      <b/>
      <sz val="16"/>
      <color theme="1"/>
      <name val="Calibri"/>
      <family val="2"/>
      <scheme val="minor"/>
    </font>
    <font>
      <sz val="11"/>
      <color theme="1"/>
      <name val="Arial"/>
      <family val="2"/>
    </font>
    <font>
      <b/>
      <sz val="18"/>
      <color theme="1"/>
      <name val="Calibri"/>
      <family val="2"/>
      <scheme val="minor"/>
    </font>
  </fonts>
  <fills count="6">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rgb="FFF5AFAB"/>
        <bgColor indexed="64"/>
      </patternFill>
    </fill>
  </fills>
  <borders count="2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87">
    <xf numFmtId="0" fontId="0" fillId="0" borderId="0" xfId="0"/>
    <xf numFmtId="0" fontId="3" fillId="0" borderId="4" xfId="0" applyFont="1" applyBorder="1" applyAlignment="1">
      <alignment horizontal="center" vertical="center" wrapText="1"/>
    </xf>
    <xf numFmtId="0" fontId="6" fillId="0" borderId="4" xfId="0" applyFont="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horizontal="center" vertical="center" wrapText="1"/>
    </xf>
    <xf numFmtId="0" fontId="5" fillId="2" borderId="4" xfId="0" applyFont="1" applyFill="1" applyBorder="1" applyAlignment="1">
      <alignment vertical="center" wrapText="1"/>
    </xf>
    <xf numFmtId="0" fontId="5" fillId="0" borderId="2" xfId="0" applyFont="1" applyBorder="1" applyAlignment="1">
      <alignment horizontal="justify" vertical="center" wrapText="1"/>
    </xf>
    <xf numFmtId="0" fontId="7" fillId="0" borderId="0" xfId="0" applyFont="1" applyAlignment="1">
      <alignment vertical="center"/>
    </xf>
    <xf numFmtId="0" fontId="8" fillId="0" borderId="0" xfId="0" applyFont="1"/>
    <xf numFmtId="0" fontId="0" fillId="2" borderId="0" xfId="0" applyFill="1"/>
    <xf numFmtId="0" fontId="0" fillId="3" borderId="0" xfId="0" applyFill="1"/>
    <xf numFmtId="0" fontId="0" fillId="4" borderId="0" xfId="0" applyFill="1"/>
    <xf numFmtId="0" fontId="0" fillId="0" borderId="0" xfId="0" applyAlignment="1">
      <alignment horizontal="center" vertical="center"/>
    </xf>
    <xf numFmtId="0" fontId="0" fillId="0" borderId="0" xfId="0" applyBorder="1"/>
    <xf numFmtId="0" fontId="0" fillId="0" borderId="9" xfId="0" applyBorder="1"/>
    <xf numFmtId="0" fontId="6" fillId="0" borderId="9" xfId="0" applyFont="1" applyBorder="1" applyAlignment="1">
      <alignment vertical="center" wrapText="1"/>
    </xf>
    <xf numFmtId="0" fontId="5" fillId="0" borderId="9" xfId="0" applyFont="1" applyBorder="1" applyAlignment="1">
      <alignment vertical="center" wrapText="1"/>
    </xf>
    <xf numFmtId="0" fontId="5" fillId="2" borderId="9" xfId="0" applyFont="1" applyFill="1" applyBorder="1" applyAlignment="1">
      <alignment vertical="center" wrapText="1"/>
    </xf>
    <xf numFmtId="0" fontId="0" fillId="0" borderId="9" xfId="0" applyBorder="1" applyAlignment="1">
      <alignment wrapText="1"/>
    </xf>
    <xf numFmtId="0" fontId="9" fillId="0" borderId="9" xfId="0" applyFont="1" applyBorder="1" applyAlignment="1">
      <alignment vertical="center" wrapText="1"/>
    </xf>
    <xf numFmtId="0" fontId="9" fillId="0" borderId="9" xfId="0" applyFont="1" applyFill="1" applyBorder="1" applyAlignment="1">
      <alignment vertical="center" wrapText="1"/>
    </xf>
    <xf numFmtId="0" fontId="9" fillId="0" borderId="8" xfId="0" applyFont="1" applyBorder="1" applyAlignment="1">
      <alignment horizontal="center" vertical="center" wrapText="1"/>
    </xf>
    <xf numFmtId="9" fontId="5" fillId="0" borderId="9" xfId="1" applyFont="1" applyBorder="1" applyAlignment="1">
      <alignment horizontal="center" vertical="center" wrapText="1"/>
    </xf>
    <xf numFmtId="164" fontId="5" fillId="0" borderId="9" xfId="0" applyNumberFormat="1" applyFont="1" applyBorder="1" applyAlignment="1">
      <alignment horizontal="center" vertical="center" wrapText="1"/>
    </xf>
    <xf numFmtId="2" fontId="0" fillId="0" borderId="9" xfId="0" applyNumberFormat="1" applyBorder="1" applyAlignment="1">
      <alignment horizontal="center" vertical="center"/>
    </xf>
    <xf numFmtId="164" fontId="0" fillId="0" borderId="9" xfId="0" applyNumberFormat="1" applyBorder="1" applyAlignment="1">
      <alignment horizontal="center" vertical="center"/>
    </xf>
    <xf numFmtId="9" fontId="0" fillId="0" borderId="9" xfId="1" applyFont="1" applyBorder="1" applyAlignment="1">
      <alignment horizontal="center" vertical="center"/>
    </xf>
    <xf numFmtId="165" fontId="5" fillId="0" borderId="9" xfId="1" applyNumberFormat="1" applyFont="1" applyBorder="1" applyAlignment="1">
      <alignment horizontal="center" vertical="center" wrapText="1"/>
    </xf>
    <xf numFmtId="165" fontId="0" fillId="0" borderId="9" xfId="1" applyNumberFormat="1" applyFont="1"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center"/>
    </xf>
    <xf numFmtId="0" fontId="10" fillId="5" borderId="9" xfId="0" applyFont="1" applyFill="1" applyBorder="1" applyAlignment="1">
      <alignment horizontal="center" vertical="center"/>
    </xf>
    <xf numFmtId="0" fontId="10" fillId="0" borderId="9" xfId="0" applyFont="1" applyBorder="1" applyAlignment="1">
      <alignment horizontal="center" vertical="center"/>
    </xf>
    <xf numFmtId="0" fontId="0" fillId="0" borderId="11" xfId="0" applyBorder="1" applyAlignment="1">
      <alignment wrapText="1"/>
    </xf>
    <xf numFmtId="0" fontId="9" fillId="0" borderId="11" xfId="0" applyFont="1" applyBorder="1" applyAlignment="1">
      <alignment vertical="center" wrapText="1"/>
    </xf>
    <xf numFmtId="0" fontId="9" fillId="0" borderId="11" xfId="0" applyFont="1" applyFill="1" applyBorder="1" applyAlignment="1">
      <alignment vertical="center" wrapText="1"/>
    </xf>
    <xf numFmtId="0" fontId="10" fillId="5" borderId="13" xfId="0" applyFont="1" applyFill="1" applyBorder="1" applyAlignment="1">
      <alignment horizontal="center" vertical="center"/>
    </xf>
    <xf numFmtId="0" fontId="9" fillId="0" borderId="9" xfId="0" applyFont="1" applyBorder="1" applyAlignment="1">
      <alignment horizontal="center" vertical="center" wrapText="1"/>
    </xf>
    <xf numFmtId="0" fontId="10" fillId="0" borderId="0" xfId="0" applyFont="1" applyBorder="1" applyAlignment="1">
      <alignment vertical="center" wrapText="1"/>
    </xf>
    <xf numFmtId="0" fontId="10" fillId="0" borderId="9" xfId="0" applyFont="1" applyBorder="1" applyAlignment="1">
      <alignment vertical="center" wrapText="1"/>
    </xf>
    <xf numFmtId="0" fontId="10" fillId="0" borderId="15" xfId="0" applyFont="1" applyFill="1" applyBorder="1" applyAlignment="1">
      <alignment horizontal="center" vertical="center"/>
    </xf>
    <xf numFmtId="0" fontId="0" fillId="0" borderId="15" xfId="0" applyBorder="1"/>
    <xf numFmtId="0" fontId="0" fillId="0" borderId="21" xfId="0" applyBorder="1"/>
    <xf numFmtId="0" fontId="5" fillId="0" borderId="15" xfId="0" applyFont="1" applyBorder="1" applyAlignment="1">
      <alignment vertical="center" wrapText="1"/>
    </xf>
    <xf numFmtId="0" fontId="5" fillId="0" borderId="21" xfId="0" applyFont="1" applyBorder="1" applyAlignment="1">
      <alignment vertical="center" wrapText="1"/>
    </xf>
    <xf numFmtId="0" fontId="10" fillId="0" borderId="15" xfId="0" applyFont="1" applyBorder="1" applyAlignment="1">
      <alignment vertical="center" wrapText="1"/>
    </xf>
    <xf numFmtId="0" fontId="11" fillId="0" borderId="9" xfId="0" applyFont="1" applyBorder="1" applyAlignment="1">
      <alignment vertical="center" wrapText="1"/>
    </xf>
    <xf numFmtId="0" fontId="11" fillId="0" borderId="9" xfId="0" applyFont="1" applyFill="1" applyBorder="1" applyAlignment="1">
      <alignment vertical="center" wrapText="1"/>
    </xf>
    <xf numFmtId="0" fontId="0" fillId="0" borderId="9" xfId="0" applyBorder="1" applyAlignment="1">
      <alignment horizontal="center"/>
    </xf>
    <xf numFmtId="0" fontId="10" fillId="0" borderId="0" xfId="0" applyFont="1" applyFill="1" applyBorder="1" applyAlignment="1">
      <alignment horizontal="center" vertical="center"/>
    </xf>
    <xf numFmtId="0" fontId="0" fillId="0" borderId="0" xfId="0" applyAlignment="1">
      <alignment horizontal="left" vertical="center" wrapText="1"/>
    </xf>
    <xf numFmtId="0" fontId="0" fillId="0" borderId="9" xfId="0" applyBorder="1" applyAlignment="1">
      <alignment horizontal="center"/>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0" fillId="0" borderId="10"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5" fillId="0" borderId="9"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3"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justify" vertical="center" wrapText="1"/>
    </xf>
    <xf numFmtId="0" fontId="13" fillId="0" borderId="0" xfId="0" applyFont="1" applyAlignment="1"/>
    <xf numFmtId="0" fontId="14" fillId="0" borderId="0" xfId="0" applyFont="1"/>
    <xf numFmtId="0" fontId="12" fillId="0" borderId="0" xfId="0" applyFont="1"/>
    <xf numFmtId="0" fontId="15" fillId="0" borderId="0" xfId="0" applyFont="1"/>
  </cellXfs>
  <cellStyles count="2">
    <cellStyle name="Prozent" xfId="1" builtinId="5"/>
    <cellStyle name="Standard" xfId="0" builtinId="0"/>
  </cellStyles>
  <dxfs count="189">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5AF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1</xdr:row>
      <xdr:rowOff>57150</xdr:rowOff>
    </xdr:from>
    <xdr:to>
      <xdr:col>7</xdr:col>
      <xdr:colOff>750570</xdr:colOff>
      <xdr:row>5</xdr:row>
      <xdr:rowOff>40640</xdr:rowOff>
    </xdr:to>
    <xdr:pic>
      <xdr:nvPicPr>
        <xdr:cNvPr id="2" name="Grafik 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0" y="257175"/>
          <a:ext cx="5760720" cy="783590"/>
        </a:xfrm>
        <a:prstGeom prst="rect">
          <a:avLst/>
        </a:prstGeom>
      </xdr:spPr>
    </xdr:pic>
    <xdr:clientData/>
  </xdr:twoCellAnchor>
  <xdr:twoCellAnchor editAs="oneCell">
    <xdr:from>
      <xdr:col>1</xdr:col>
      <xdr:colOff>0</xdr:colOff>
      <xdr:row>24</xdr:row>
      <xdr:rowOff>0</xdr:rowOff>
    </xdr:from>
    <xdr:to>
      <xdr:col>7</xdr:col>
      <xdr:colOff>731520</xdr:colOff>
      <xdr:row>27</xdr:row>
      <xdr:rowOff>50165</xdr:rowOff>
    </xdr:to>
    <xdr:pic>
      <xdr:nvPicPr>
        <xdr:cNvPr id="3" name="Grafik 2"/>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38200" y="9934575"/>
          <a:ext cx="5760720" cy="6502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Q20"/>
  <sheetViews>
    <sheetView tabSelected="1" workbookViewId="0">
      <selection activeCell="D29" sqref="D29"/>
    </sheetView>
  </sheetViews>
  <sheetFormatPr baseColWidth="10" defaultRowHeight="15.75" x14ac:dyDescent="0.25"/>
  <sheetData>
    <row r="5" spans="2:17" x14ac:dyDescent="0.25">
      <c r="K5" s="84"/>
    </row>
    <row r="8" spans="2:17" x14ac:dyDescent="0.25">
      <c r="B8" s="85" t="s">
        <v>148</v>
      </c>
    </row>
    <row r="9" spans="2:17" ht="21" x14ac:dyDescent="0.35">
      <c r="B9" s="83" t="s">
        <v>147</v>
      </c>
    </row>
    <row r="10" spans="2:17" ht="21" x14ac:dyDescent="0.35">
      <c r="B10" s="83"/>
    </row>
    <row r="12" spans="2:17" ht="409.5" customHeight="1" x14ac:dyDescent="0.25">
      <c r="B12" s="50" t="s">
        <v>0</v>
      </c>
      <c r="C12" s="50"/>
      <c r="D12" s="50"/>
      <c r="E12" s="50"/>
      <c r="F12" s="50"/>
      <c r="G12" s="50"/>
      <c r="H12" s="50"/>
      <c r="I12" s="50"/>
      <c r="J12" s="50"/>
      <c r="K12" s="50"/>
      <c r="L12" s="50"/>
      <c r="M12" s="50"/>
      <c r="N12" s="50"/>
      <c r="O12" s="50"/>
      <c r="P12" s="50"/>
      <c r="Q12" s="50"/>
    </row>
    <row r="16" spans="2:17" x14ac:dyDescent="0.25">
      <c r="D16" s="51" t="s">
        <v>4</v>
      </c>
      <c r="E16" s="51"/>
    </row>
    <row r="17" spans="2:5" x14ac:dyDescent="0.25">
      <c r="D17" s="30" t="s">
        <v>127</v>
      </c>
      <c r="E17" s="30" t="s">
        <v>128</v>
      </c>
    </row>
    <row r="18" spans="2:5" x14ac:dyDescent="0.25">
      <c r="B18" t="s">
        <v>126</v>
      </c>
      <c r="C18" s="9"/>
      <c r="D18" s="48" t="s">
        <v>124</v>
      </c>
      <c r="E18" s="48" t="s">
        <v>130</v>
      </c>
    </row>
    <row r="19" spans="2:5" x14ac:dyDescent="0.25">
      <c r="C19" s="10"/>
      <c r="D19" s="48" t="s">
        <v>129</v>
      </c>
      <c r="E19" s="48" t="s">
        <v>131</v>
      </c>
    </row>
    <row r="20" spans="2:5" x14ac:dyDescent="0.25">
      <c r="C20" s="11"/>
      <c r="D20" s="48" t="s">
        <v>125</v>
      </c>
      <c r="E20" s="48" t="s">
        <v>132</v>
      </c>
    </row>
  </sheetData>
  <mergeCells count="2">
    <mergeCell ref="B12:Q12"/>
    <mergeCell ref="D16:E16"/>
  </mergeCells>
  <conditionalFormatting sqref="D18:D20">
    <cfRule type="cellIs" dxfId="188" priority="4" operator="equal">
      <formula>"no"</formula>
    </cfRule>
    <cfRule type="cellIs" dxfId="187" priority="5" operator="equal">
      <formula>"yes"</formula>
    </cfRule>
  </conditionalFormatting>
  <conditionalFormatting sqref="E18:E20">
    <cfRule type="cellIs" dxfId="186" priority="1" operator="equal">
      <formula>"low"</formula>
    </cfRule>
    <cfRule type="cellIs" dxfId="185" priority="2" operator="equal">
      <formula>"medium"</formula>
    </cfRule>
    <cfRule type="cellIs" dxfId="184" priority="3" operator="equal">
      <formula>"high"</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8"/>
  <sheetViews>
    <sheetView zoomScale="70" zoomScaleNormal="70" workbookViewId="0">
      <selection activeCell="B1" sqref="B1"/>
    </sheetView>
  </sheetViews>
  <sheetFormatPr baseColWidth="10" defaultRowHeight="15.75" x14ac:dyDescent="0.25"/>
  <cols>
    <col min="13" max="14" width="11.625" bestFit="1" customWidth="1"/>
    <col min="17" max="18" width="11.625" bestFit="1" customWidth="1"/>
  </cols>
  <sheetData>
    <row r="1" spans="2:20" ht="23.25" x14ac:dyDescent="0.35">
      <c r="B1" s="86" t="s">
        <v>146</v>
      </c>
      <c r="K1" s="86" t="s">
        <v>113</v>
      </c>
    </row>
    <row r="2" spans="2:20" ht="24" thickBot="1" x14ac:dyDescent="0.4">
      <c r="K2" s="8"/>
    </row>
    <row r="3" spans="2:20" ht="16.5" thickBot="1" x14ac:dyDescent="0.3">
      <c r="B3" s="55" t="s">
        <v>1</v>
      </c>
      <c r="C3" s="55" t="s">
        <v>2</v>
      </c>
      <c r="D3" s="55" t="s">
        <v>3</v>
      </c>
      <c r="E3" s="57" t="s">
        <v>4</v>
      </c>
      <c r="F3" s="58"/>
      <c r="G3" s="59"/>
      <c r="H3" s="55" t="s">
        <v>5</v>
      </c>
      <c r="K3" s="66"/>
      <c r="L3" s="60" t="s">
        <v>11</v>
      </c>
      <c r="M3" s="61"/>
      <c r="N3" s="61"/>
      <c r="O3" s="62"/>
      <c r="P3" s="60" t="s">
        <v>23</v>
      </c>
      <c r="Q3" s="61"/>
      <c r="R3" s="61"/>
      <c r="S3" s="62"/>
      <c r="T3" s="63" t="s">
        <v>141</v>
      </c>
    </row>
    <row r="4" spans="2:20" ht="16.5" thickBot="1" x14ac:dyDescent="0.3">
      <c r="B4" s="56"/>
      <c r="C4" s="56"/>
      <c r="D4" s="56"/>
      <c r="E4" s="1" t="s">
        <v>6</v>
      </c>
      <c r="F4" s="1" t="s">
        <v>7</v>
      </c>
      <c r="G4" s="1" t="s">
        <v>8</v>
      </c>
      <c r="H4" s="56"/>
      <c r="K4" s="67"/>
      <c r="L4" s="15" t="s">
        <v>12</v>
      </c>
      <c r="M4" s="15" t="s">
        <v>16</v>
      </c>
      <c r="N4" s="15" t="s">
        <v>19</v>
      </c>
      <c r="O4" s="15"/>
      <c r="P4" s="15" t="s">
        <v>24</v>
      </c>
      <c r="Q4" s="15" t="s">
        <v>26</v>
      </c>
      <c r="R4" s="15" t="s">
        <v>28</v>
      </c>
      <c r="S4" s="15"/>
      <c r="T4" s="64"/>
    </row>
    <row r="5" spans="2:20" ht="192" thickBot="1" x14ac:dyDescent="0.3">
      <c r="B5" s="57" t="s">
        <v>9</v>
      </c>
      <c r="C5" s="58"/>
      <c r="D5" s="58"/>
      <c r="E5" s="58"/>
      <c r="F5" s="58"/>
      <c r="G5" s="58"/>
      <c r="H5" s="59"/>
      <c r="K5" s="68"/>
      <c r="L5" s="16" t="s">
        <v>13</v>
      </c>
      <c r="M5" s="16" t="s">
        <v>17</v>
      </c>
      <c r="N5" s="16" t="s">
        <v>133</v>
      </c>
      <c r="O5" s="17" t="s">
        <v>134</v>
      </c>
      <c r="P5" s="16" t="s">
        <v>136</v>
      </c>
      <c r="Q5" s="16" t="s">
        <v>135</v>
      </c>
      <c r="R5" s="16" t="s">
        <v>137</v>
      </c>
      <c r="S5" s="17" t="s">
        <v>138</v>
      </c>
      <c r="T5" s="65"/>
    </row>
    <row r="6" spans="2:20" ht="63.95" customHeight="1" thickBot="1" x14ac:dyDescent="0.3">
      <c r="B6" s="69" t="s">
        <v>10</v>
      </c>
      <c r="C6" s="70"/>
      <c r="D6" s="70"/>
      <c r="E6" s="70"/>
      <c r="F6" s="70"/>
      <c r="G6" s="70"/>
      <c r="H6" s="71"/>
      <c r="K6" s="18" t="s">
        <v>114</v>
      </c>
      <c r="L6" s="12" t="s">
        <v>124</v>
      </c>
      <c r="M6" s="23">
        <v>3.6666666666666665</v>
      </c>
      <c r="N6" s="23">
        <v>5</v>
      </c>
      <c r="O6" s="22">
        <v>2</v>
      </c>
      <c r="P6" s="23">
        <v>0</v>
      </c>
      <c r="Q6" s="23">
        <v>3.3333333333333335</v>
      </c>
      <c r="R6" s="23">
        <v>1.6666666666666667</v>
      </c>
      <c r="S6" s="22">
        <v>-0.6</v>
      </c>
      <c r="T6" s="31">
        <f>(3+2+2+3+1+1+1+1)/8</f>
        <v>1.75</v>
      </c>
    </row>
    <row r="7" spans="2:20" ht="128.25" thickBot="1" x14ac:dyDescent="0.3">
      <c r="B7" s="52" t="s">
        <v>11</v>
      </c>
      <c r="C7" s="2" t="s">
        <v>12</v>
      </c>
      <c r="D7" s="3" t="s">
        <v>13</v>
      </c>
      <c r="E7" s="4" t="s">
        <v>14</v>
      </c>
      <c r="F7" s="4"/>
      <c r="G7" s="4"/>
      <c r="H7" s="4" t="s">
        <v>15</v>
      </c>
      <c r="K7" s="19" t="s">
        <v>115</v>
      </c>
      <c r="L7" s="21" t="s">
        <v>124</v>
      </c>
      <c r="M7" s="23">
        <v>1</v>
      </c>
      <c r="N7" s="23">
        <v>0</v>
      </c>
      <c r="O7" s="22">
        <v>0</v>
      </c>
      <c r="P7" s="23">
        <v>0</v>
      </c>
      <c r="Q7" s="23">
        <v>0</v>
      </c>
      <c r="R7" s="23">
        <v>0</v>
      </c>
      <c r="S7" s="22">
        <v>-1</v>
      </c>
      <c r="T7" s="32">
        <f>(3+1+1+1+1+1+1+1)/8</f>
        <v>1.25</v>
      </c>
    </row>
    <row r="8" spans="2:20" ht="204.75" thickBot="1" x14ac:dyDescent="0.3">
      <c r="B8" s="53"/>
      <c r="C8" s="2" t="s">
        <v>16</v>
      </c>
      <c r="D8" s="3" t="s">
        <v>17</v>
      </c>
      <c r="E8" s="4"/>
      <c r="F8" s="4" t="s">
        <v>14</v>
      </c>
      <c r="G8" s="4"/>
      <c r="H8" s="4" t="s">
        <v>18</v>
      </c>
      <c r="K8" s="19" t="s">
        <v>116</v>
      </c>
      <c r="L8" s="21" t="s">
        <v>124</v>
      </c>
      <c r="M8" s="23">
        <v>0.33333333333333331</v>
      </c>
      <c r="N8" s="23">
        <v>1</v>
      </c>
      <c r="O8" s="22">
        <v>-1</v>
      </c>
      <c r="P8" s="23">
        <v>1</v>
      </c>
      <c r="Q8" s="23">
        <v>2</v>
      </c>
      <c r="R8" s="23">
        <v>1</v>
      </c>
      <c r="S8" s="22">
        <v>0</v>
      </c>
      <c r="T8" s="32">
        <f>(3+1+1+1+1+1+1+1)/8</f>
        <v>1.25</v>
      </c>
    </row>
    <row r="9" spans="2:20" ht="90" thickBot="1" x14ac:dyDescent="0.3">
      <c r="B9" s="53"/>
      <c r="C9" s="2" t="s">
        <v>19</v>
      </c>
      <c r="D9" s="3" t="s">
        <v>20</v>
      </c>
      <c r="E9" s="4"/>
      <c r="F9" s="4" t="s">
        <v>14</v>
      </c>
      <c r="G9" s="4"/>
      <c r="H9" s="4" t="s">
        <v>21</v>
      </c>
      <c r="K9" s="19" t="s">
        <v>117</v>
      </c>
      <c r="L9" s="21" t="s">
        <v>124</v>
      </c>
      <c r="M9" s="23">
        <v>3</v>
      </c>
      <c r="N9" s="23">
        <v>1.6000000000000003</v>
      </c>
      <c r="O9" s="22">
        <v>0</v>
      </c>
      <c r="P9" s="23">
        <v>0.15</v>
      </c>
      <c r="Q9" s="23">
        <v>16.666666666666668</v>
      </c>
      <c r="R9" s="23">
        <v>0.26666666666666666</v>
      </c>
      <c r="S9" s="22">
        <v>6</v>
      </c>
      <c r="T9" s="32">
        <f>(3+2+1+1+1+3+1+3)/8</f>
        <v>1.875</v>
      </c>
    </row>
    <row r="10" spans="2:20" ht="90" thickBot="1" x14ac:dyDescent="0.3">
      <c r="B10" s="54"/>
      <c r="C10" s="2"/>
      <c r="D10" s="5" t="s">
        <v>22</v>
      </c>
      <c r="E10" s="4"/>
      <c r="F10" s="4"/>
      <c r="G10" s="4" t="s">
        <v>14</v>
      </c>
      <c r="H10" s="4" t="s">
        <v>21</v>
      </c>
      <c r="K10" s="19" t="s">
        <v>118</v>
      </c>
      <c r="L10" s="21" t="s">
        <v>125</v>
      </c>
      <c r="M10" s="25">
        <v>4.333333333333333</v>
      </c>
      <c r="N10" s="25">
        <v>16.666666666666668</v>
      </c>
      <c r="O10" s="26">
        <v>-0.5</v>
      </c>
      <c r="P10" s="25">
        <v>11.4</v>
      </c>
      <c r="Q10" s="25">
        <v>66.666666666666671</v>
      </c>
      <c r="R10" s="25">
        <v>53.333333333333336</v>
      </c>
      <c r="S10" s="26">
        <v>-0.375</v>
      </c>
      <c r="T10" s="32">
        <f>(1+2+3+1+3+3+3+1)/8</f>
        <v>2.125</v>
      </c>
    </row>
    <row r="11" spans="2:20" ht="90" thickBot="1" x14ac:dyDescent="0.3">
      <c r="B11" s="52" t="s">
        <v>23</v>
      </c>
      <c r="C11" s="2" t="s">
        <v>24</v>
      </c>
      <c r="D11" s="3" t="s">
        <v>25</v>
      </c>
      <c r="E11" s="4"/>
      <c r="F11" s="4" t="s">
        <v>14</v>
      </c>
      <c r="G11" s="4"/>
      <c r="H11" s="4" t="s">
        <v>21</v>
      </c>
      <c r="K11" s="19" t="s">
        <v>119</v>
      </c>
      <c r="L11" s="21" t="s">
        <v>124</v>
      </c>
      <c r="M11" s="25">
        <v>8.3333333333333339</v>
      </c>
      <c r="N11" s="25">
        <v>0</v>
      </c>
      <c r="O11" s="26">
        <v>-0.36363636363636365</v>
      </c>
      <c r="P11" s="25">
        <v>0</v>
      </c>
      <c r="Q11" s="25">
        <v>12.366666666666667</v>
      </c>
      <c r="R11" s="25">
        <v>2.2333333333333334</v>
      </c>
      <c r="S11" s="26">
        <v>0.20909090909090916</v>
      </c>
      <c r="T11" s="32">
        <f>(3+3+1+1+1+3+1+2)/8</f>
        <v>1.875</v>
      </c>
    </row>
    <row r="12" spans="2:20" ht="115.5" thickBot="1" x14ac:dyDescent="0.3">
      <c r="B12" s="53"/>
      <c r="C12" s="2" t="s">
        <v>26</v>
      </c>
      <c r="D12" s="3" t="s">
        <v>27</v>
      </c>
      <c r="E12" s="4"/>
      <c r="F12" s="4" t="s">
        <v>14</v>
      </c>
      <c r="G12" s="4"/>
      <c r="H12" s="4" t="s">
        <v>21</v>
      </c>
      <c r="K12" s="19" t="s">
        <v>120</v>
      </c>
      <c r="L12" s="21" t="s">
        <v>125</v>
      </c>
      <c r="M12" s="25">
        <v>4.333333333333333</v>
      </c>
      <c r="N12" s="25">
        <v>1.3333333333333333</v>
      </c>
      <c r="O12" s="26">
        <v>1</v>
      </c>
      <c r="P12" s="25">
        <v>3.5</v>
      </c>
      <c r="Q12" s="25">
        <v>2.6666666666666665</v>
      </c>
      <c r="R12" s="25">
        <v>2</v>
      </c>
      <c r="S12" s="26">
        <v>0.5</v>
      </c>
      <c r="T12" s="32">
        <f>(1+2+1+3+1+1+1+2)/8</f>
        <v>1.5</v>
      </c>
    </row>
    <row r="13" spans="2:20" ht="128.25" thickBot="1" x14ac:dyDescent="0.3">
      <c r="B13" s="53"/>
      <c r="C13" s="2" t="s">
        <v>28</v>
      </c>
      <c r="D13" s="3" t="s">
        <v>29</v>
      </c>
      <c r="E13" s="4"/>
      <c r="F13" s="4" t="s">
        <v>14</v>
      </c>
      <c r="G13" s="4"/>
      <c r="H13" s="4" t="s">
        <v>21</v>
      </c>
      <c r="K13" s="19" t="s">
        <v>121</v>
      </c>
      <c r="L13" s="21" t="s">
        <v>124</v>
      </c>
      <c r="M13" s="25">
        <v>4.333333333333333</v>
      </c>
      <c r="N13" s="25">
        <v>1</v>
      </c>
      <c r="O13" s="26">
        <v>-0.5</v>
      </c>
      <c r="P13" s="25">
        <v>1</v>
      </c>
      <c r="Q13" s="25">
        <v>1</v>
      </c>
      <c r="R13" s="25">
        <v>1</v>
      </c>
      <c r="S13" s="26">
        <v>0</v>
      </c>
      <c r="T13" s="32">
        <f>(3+2+1+1+1+1+1+1)/8</f>
        <v>1.375</v>
      </c>
    </row>
    <row r="14" spans="2:20" ht="115.5" thickBot="1" x14ac:dyDescent="0.3">
      <c r="B14" s="54"/>
      <c r="C14" s="2"/>
      <c r="D14" s="5" t="s">
        <v>30</v>
      </c>
      <c r="E14" s="4"/>
      <c r="F14" s="4"/>
      <c r="G14" s="4" t="s">
        <v>14</v>
      </c>
      <c r="H14" s="4" t="s">
        <v>31</v>
      </c>
      <c r="K14" s="19" t="s">
        <v>122</v>
      </c>
      <c r="L14" s="21" t="s">
        <v>124</v>
      </c>
      <c r="M14" s="25">
        <v>22.333333333333332</v>
      </c>
      <c r="N14" s="25">
        <v>2</v>
      </c>
      <c r="O14" s="26">
        <v>-8.6956521739130432E-2</v>
      </c>
      <c r="P14" s="25">
        <v>1</v>
      </c>
      <c r="Q14" s="25">
        <v>5.333333333333333</v>
      </c>
      <c r="R14" s="25">
        <v>12.666666666666666</v>
      </c>
      <c r="S14" s="26">
        <v>0</v>
      </c>
      <c r="T14" s="32">
        <f>(3+3+1+1+1+2+3+1)/8</f>
        <v>1.875</v>
      </c>
    </row>
    <row r="15" spans="2:20" ht="25.5" x14ac:dyDescent="0.25">
      <c r="K15" s="20" t="s">
        <v>123</v>
      </c>
      <c r="L15" s="21" t="s">
        <v>124</v>
      </c>
      <c r="M15" s="25">
        <v>5.7407407407407405</v>
      </c>
      <c r="N15" s="25">
        <v>3.7666666666666671</v>
      </c>
      <c r="O15" s="26">
        <v>-0.10714285714285719</v>
      </c>
      <c r="P15" s="25">
        <v>2.348214285714286</v>
      </c>
      <c r="Q15" s="25">
        <v>13.754166666666668</v>
      </c>
      <c r="R15" s="25">
        <v>9.2708333333333339</v>
      </c>
      <c r="S15" s="26">
        <v>2.7027027027026773E-3</v>
      </c>
      <c r="T15" s="32">
        <f>(3+3+1+1+1+3+2+1)/8</f>
        <v>1.875</v>
      </c>
    </row>
    <row r="70" spans="2:2" x14ac:dyDescent="0.25">
      <c r="B70" s="7" t="s">
        <v>108</v>
      </c>
    </row>
    <row r="71" spans="2:2" x14ac:dyDescent="0.25">
      <c r="B71" s="7" t="s">
        <v>109</v>
      </c>
    </row>
    <row r="72" spans="2:2" x14ac:dyDescent="0.25">
      <c r="B72" s="7" t="s">
        <v>110</v>
      </c>
    </row>
    <row r="73" spans="2:2" x14ac:dyDescent="0.25">
      <c r="B73" s="7" t="s">
        <v>110</v>
      </c>
    </row>
    <row r="74" spans="2:2" x14ac:dyDescent="0.25">
      <c r="B74" s="7" t="s">
        <v>110</v>
      </c>
    </row>
    <row r="75" spans="2:2" x14ac:dyDescent="0.25">
      <c r="B75" s="7" t="s">
        <v>111</v>
      </c>
    </row>
    <row r="76" spans="2:2" x14ac:dyDescent="0.25">
      <c r="B76" s="7" t="s">
        <v>110</v>
      </c>
    </row>
    <row r="77" spans="2:2" x14ac:dyDescent="0.25">
      <c r="B77" s="7" t="s">
        <v>112</v>
      </c>
    </row>
    <row r="78" spans="2:2" x14ac:dyDescent="0.25">
      <c r="B78" s="7" t="s">
        <v>110</v>
      </c>
    </row>
  </sheetData>
  <mergeCells count="13">
    <mergeCell ref="P3:S3"/>
    <mergeCell ref="T3:T5"/>
    <mergeCell ref="K3:K5"/>
    <mergeCell ref="L3:O3"/>
    <mergeCell ref="B6:H6"/>
    <mergeCell ref="E3:G3"/>
    <mergeCell ref="H3:H4"/>
    <mergeCell ref="B7:B10"/>
    <mergeCell ref="B11:B14"/>
    <mergeCell ref="B3:B4"/>
    <mergeCell ref="C3:C4"/>
    <mergeCell ref="D3:D4"/>
    <mergeCell ref="B5:H5"/>
  </mergeCells>
  <conditionalFormatting sqref="L6:L14">
    <cfRule type="cellIs" dxfId="183" priority="31" operator="equal">
      <formula>"no"</formula>
    </cfRule>
    <cfRule type="cellIs" dxfId="182" priority="32" operator="equal">
      <formula>"yes"</formula>
    </cfRule>
  </conditionalFormatting>
  <conditionalFormatting sqref="L15">
    <cfRule type="cellIs" dxfId="181" priority="29" operator="equal">
      <formula>"no"</formula>
    </cfRule>
    <cfRule type="cellIs" dxfId="180" priority="30" operator="equal">
      <formula>"yes"</formula>
    </cfRule>
  </conditionalFormatting>
  <conditionalFormatting sqref="M6:M15">
    <cfRule type="cellIs" dxfId="179" priority="26" operator="lessThan">
      <formula>3</formula>
    </cfRule>
    <cfRule type="cellIs" dxfId="178" priority="27" operator="between">
      <formula>3</formula>
      <formula>5</formula>
    </cfRule>
    <cfRule type="cellIs" dxfId="177" priority="28" operator="greaterThan">
      <formula>5</formula>
    </cfRule>
  </conditionalFormatting>
  <conditionalFormatting sqref="N6:N15">
    <cfRule type="cellIs" dxfId="176" priority="23" operator="lessThan">
      <formula>5</formula>
    </cfRule>
    <cfRule type="cellIs" dxfId="175" priority="24" operator="between">
      <formula>5</formula>
      <formula>10</formula>
    </cfRule>
    <cfRule type="cellIs" dxfId="174" priority="25" operator="greaterThan">
      <formula>10</formula>
    </cfRule>
  </conditionalFormatting>
  <conditionalFormatting sqref="O6:O15">
    <cfRule type="cellIs" dxfId="173" priority="20" operator="lessThan">
      <formula>20%</formula>
    </cfRule>
    <cfRule type="cellIs" dxfId="172" priority="21" operator="between">
      <formula>20%</formula>
      <formula>50%</formula>
    </cfRule>
    <cfRule type="cellIs" dxfId="171" priority="22" operator="greaterThan">
      <formula>50%</formula>
    </cfRule>
  </conditionalFormatting>
  <conditionalFormatting sqref="S6:S15">
    <cfRule type="cellIs" dxfId="170" priority="17" operator="lessThan">
      <formula>20%</formula>
    </cfRule>
    <cfRule type="cellIs" dxfId="169" priority="18" operator="between">
      <formula>20%</formula>
      <formula>50%</formula>
    </cfRule>
    <cfRule type="cellIs" dxfId="168" priority="19" operator="greaterThan">
      <formula>50%</formula>
    </cfRule>
  </conditionalFormatting>
  <conditionalFormatting sqref="P6:P15">
    <cfRule type="cellIs" dxfId="167" priority="14" operator="lessThan">
      <formula>5</formula>
    </cfRule>
    <cfRule type="cellIs" dxfId="166" priority="15" operator="between">
      <formula>5</formula>
      <formula>10</formula>
    </cfRule>
    <cfRule type="cellIs" dxfId="165" priority="16" operator="greaterThan">
      <formula>10</formula>
    </cfRule>
  </conditionalFormatting>
  <conditionalFormatting sqref="Q6:Q15">
    <cfRule type="cellIs" dxfId="164" priority="11" operator="lessThan">
      <formula>5</formula>
    </cfRule>
    <cfRule type="cellIs" dxfId="163" priority="12" operator="between">
      <formula>5</formula>
      <formula>10</formula>
    </cfRule>
    <cfRule type="cellIs" dxfId="162" priority="13" operator="greaterThan">
      <formula>10</formula>
    </cfRule>
  </conditionalFormatting>
  <conditionalFormatting sqref="R6:R15">
    <cfRule type="cellIs" dxfId="161" priority="8" operator="lessThan">
      <formula>5</formula>
    </cfRule>
    <cfRule type="cellIs" dxfId="160" priority="9" operator="between">
      <formula>5</formula>
      <formula>10</formula>
    </cfRule>
    <cfRule type="cellIs" dxfId="159" priority="10" operator="greaterThan">
      <formula>10</formula>
    </cfRule>
  </conditionalFormatting>
  <conditionalFormatting sqref="T6:T15">
    <cfRule type="cellIs" dxfId="158" priority="1" operator="between">
      <formula>1.6</formula>
      <formula>2</formula>
    </cfRule>
    <cfRule type="cellIs" dxfId="157" priority="2" operator="lessThan">
      <formula>1.6</formula>
    </cfRule>
    <cfRule type="cellIs" dxfId="156" priority="3" operator="greaterThan">
      <formula>2</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6"/>
  <sheetViews>
    <sheetView zoomScale="70" zoomScaleNormal="70" workbookViewId="0">
      <selection activeCell="J3" sqref="J3:J5"/>
    </sheetView>
  </sheetViews>
  <sheetFormatPr baseColWidth="10" defaultRowHeight="15.75" x14ac:dyDescent="0.25"/>
  <cols>
    <col min="12" max="13" width="11.625" bestFit="1" customWidth="1"/>
    <col min="17" max="17" width="11.625" bestFit="1" customWidth="1"/>
  </cols>
  <sheetData>
    <row r="1" spans="1:21" ht="23.25" x14ac:dyDescent="0.35">
      <c r="A1" s="8"/>
      <c r="B1" s="86" t="s">
        <v>146</v>
      </c>
      <c r="J1" s="86" t="s">
        <v>113</v>
      </c>
    </row>
    <row r="2" spans="1:21" ht="24" thickBot="1" x14ac:dyDescent="0.4">
      <c r="A2" s="8"/>
      <c r="B2" s="8"/>
      <c r="J2" s="8"/>
    </row>
    <row r="3" spans="1:21" ht="17.100000000000001" customHeight="1" thickBot="1" x14ac:dyDescent="0.3">
      <c r="B3" s="55" t="s">
        <v>1</v>
      </c>
      <c r="C3" s="55" t="s">
        <v>2</v>
      </c>
      <c r="D3" s="55" t="s">
        <v>3</v>
      </c>
      <c r="E3" s="57" t="s">
        <v>4</v>
      </c>
      <c r="F3" s="58"/>
      <c r="G3" s="59"/>
      <c r="H3" s="55" t="s">
        <v>5</v>
      </c>
      <c r="J3" s="51"/>
      <c r="K3" s="72" t="s">
        <v>23</v>
      </c>
      <c r="L3" s="72"/>
      <c r="M3" s="72"/>
      <c r="N3" s="72"/>
      <c r="O3" s="72"/>
      <c r="P3" s="72" t="s">
        <v>11</v>
      </c>
      <c r="Q3" s="72"/>
      <c r="R3" s="72"/>
      <c r="S3" s="72"/>
      <c r="T3" s="72"/>
      <c r="U3" s="73" t="s">
        <v>141</v>
      </c>
    </row>
    <row r="4" spans="1:21" ht="17.100000000000001" customHeight="1" thickBot="1" x14ac:dyDescent="0.3">
      <c r="B4" s="56"/>
      <c r="C4" s="56"/>
      <c r="D4" s="56"/>
      <c r="E4" s="1" t="s">
        <v>6</v>
      </c>
      <c r="F4" s="1" t="s">
        <v>7</v>
      </c>
      <c r="G4" s="1" t="s">
        <v>8</v>
      </c>
      <c r="H4" s="56"/>
      <c r="J4" s="51"/>
      <c r="K4" s="15" t="s">
        <v>33</v>
      </c>
      <c r="L4" s="15" t="s">
        <v>35</v>
      </c>
      <c r="M4" s="15" t="s">
        <v>37</v>
      </c>
      <c r="N4" s="15"/>
      <c r="O4" s="15"/>
      <c r="P4" s="15" t="s">
        <v>41</v>
      </c>
      <c r="Q4" s="15" t="s">
        <v>43</v>
      </c>
      <c r="R4" s="15" t="s">
        <v>45</v>
      </c>
      <c r="S4" s="16"/>
      <c r="T4" s="16"/>
      <c r="U4" s="73"/>
    </row>
    <row r="5" spans="1:21" ht="146.1" customHeight="1" thickBot="1" x14ac:dyDescent="0.3">
      <c r="B5" s="57" t="s">
        <v>9</v>
      </c>
      <c r="C5" s="58"/>
      <c r="D5" s="58"/>
      <c r="E5" s="58"/>
      <c r="F5" s="58"/>
      <c r="G5" s="58"/>
      <c r="H5" s="59"/>
      <c r="J5" s="51"/>
      <c r="K5" s="16" t="s">
        <v>34</v>
      </c>
      <c r="L5" s="16" t="s">
        <v>139</v>
      </c>
      <c r="M5" s="16" t="s">
        <v>140</v>
      </c>
      <c r="N5" s="17" t="s">
        <v>39</v>
      </c>
      <c r="O5" s="17" t="s">
        <v>40</v>
      </c>
      <c r="P5" s="16" t="s">
        <v>42</v>
      </c>
      <c r="Q5" s="16" t="s">
        <v>44</v>
      </c>
      <c r="R5" s="16" t="s">
        <v>46</v>
      </c>
      <c r="S5" s="17" t="s">
        <v>47</v>
      </c>
      <c r="T5" s="17" t="s">
        <v>48</v>
      </c>
      <c r="U5" s="73"/>
    </row>
    <row r="6" spans="1:21" ht="48" thickBot="1" x14ac:dyDescent="0.3">
      <c r="B6" s="69" t="s">
        <v>32</v>
      </c>
      <c r="C6" s="70"/>
      <c r="D6" s="70"/>
      <c r="E6" s="70"/>
      <c r="F6" s="70"/>
      <c r="G6" s="70"/>
      <c r="H6" s="71"/>
      <c r="J6" s="18" t="s">
        <v>114</v>
      </c>
      <c r="K6" s="12" t="s">
        <v>125</v>
      </c>
      <c r="L6" s="23">
        <v>6.6666666666666671E-3</v>
      </c>
      <c r="M6" s="23">
        <v>0.3833333333333333</v>
      </c>
      <c r="N6" s="27">
        <v>0</v>
      </c>
      <c r="O6" s="27">
        <v>0.60000000000000009</v>
      </c>
      <c r="P6" s="12" t="s">
        <v>125</v>
      </c>
      <c r="Q6" s="23">
        <v>1.3566666666666667</v>
      </c>
      <c r="R6" s="23">
        <v>3</v>
      </c>
      <c r="S6" s="27">
        <v>-0.32727272727272716</v>
      </c>
      <c r="T6" s="27">
        <v>0</v>
      </c>
      <c r="U6" s="31">
        <f>(1+1+1+1+3+1+1+2+1+1)/10</f>
        <v>1.3</v>
      </c>
    </row>
    <row r="7" spans="1:21" ht="90" thickBot="1" x14ac:dyDescent="0.3">
      <c r="B7" s="52" t="s">
        <v>23</v>
      </c>
      <c r="C7" s="2" t="s">
        <v>33</v>
      </c>
      <c r="D7" s="3" t="s">
        <v>34</v>
      </c>
      <c r="E7" s="4" t="s">
        <v>14</v>
      </c>
      <c r="F7" s="4"/>
      <c r="G7" s="4"/>
      <c r="H7" s="4" t="s">
        <v>15</v>
      </c>
      <c r="J7" s="19" t="s">
        <v>115</v>
      </c>
      <c r="K7" s="21" t="s">
        <v>125</v>
      </c>
      <c r="L7" s="23">
        <v>0</v>
      </c>
      <c r="M7" s="23">
        <v>0</v>
      </c>
      <c r="N7" s="27">
        <v>0</v>
      </c>
      <c r="O7" s="27">
        <v>3.1874999999999996</v>
      </c>
      <c r="P7" s="21" t="s">
        <v>125</v>
      </c>
      <c r="Q7" s="23">
        <v>0</v>
      </c>
      <c r="R7" s="23">
        <v>0</v>
      </c>
      <c r="S7" s="27">
        <v>0</v>
      </c>
      <c r="T7" s="27">
        <v>0</v>
      </c>
      <c r="U7" s="31">
        <f>(1+1+1+1+3+1+1+1+1+1)/10</f>
        <v>1.2</v>
      </c>
    </row>
    <row r="8" spans="1:21" ht="102.75" thickBot="1" x14ac:dyDescent="0.3">
      <c r="B8" s="53"/>
      <c r="C8" s="2" t="s">
        <v>35</v>
      </c>
      <c r="D8" s="3" t="s">
        <v>36</v>
      </c>
      <c r="E8" s="4"/>
      <c r="F8" s="4" t="s">
        <v>14</v>
      </c>
      <c r="G8" s="4"/>
      <c r="H8" s="4" t="s">
        <v>21</v>
      </c>
      <c r="J8" s="19" t="s">
        <v>116</v>
      </c>
      <c r="K8" s="21" t="s">
        <v>125</v>
      </c>
      <c r="L8" s="23">
        <v>1</v>
      </c>
      <c r="M8" s="23">
        <v>1</v>
      </c>
      <c r="N8" s="27">
        <v>0</v>
      </c>
      <c r="O8" s="27">
        <v>0</v>
      </c>
      <c r="P8" s="21" t="s">
        <v>125</v>
      </c>
      <c r="Q8" s="23">
        <v>0</v>
      </c>
      <c r="R8" s="23">
        <v>0.66666666666666663</v>
      </c>
      <c r="S8" s="27">
        <v>0</v>
      </c>
      <c r="T8" s="27">
        <v>0</v>
      </c>
      <c r="U8" s="31">
        <f>(1+1+1+1+1+1+1+1+1+1)/10</f>
        <v>1</v>
      </c>
    </row>
    <row r="9" spans="1:21" ht="77.25" thickBot="1" x14ac:dyDescent="0.3">
      <c r="B9" s="53"/>
      <c r="C9" s="2" t="s">
        <v>37</v>
      </c>
      <c r="D9" s="3" t="s">
        <v>38</v>
      </c>
      <c r="E9" s="4"/>
      <c r="F9" s="4" t="s">
        <v>14</v>
      </c>
      <c r="G9" s="4"/>
      <c r="H9" s="4" t="s">
        <v>21</v>
      </c>
      <c r="J9" s="19" t="s">
        <v>117</v>
      </c>
      <c r="K9" s="21" t="s">
        <v>124</v>
      </c>
      <c r="L9" s="23">
        <v>0</v>
      </c>
      <c r="M9" s="23">
        <v>0</v>
      </c>
      <c r="N9" s="27">
        <v>0</v>
      </c>
      <c r="O9" s="27">
        <v>0</v>
      </c>
      <c r="P9" s="21" t="s">
        <v>124</v>
      </c>
      <c r="Q9" s="23">
        <v>9.9999999999999991E-5</v>
      </c>
      <c r="R9" s="23">
        <v>0.66666666666666663</v>
      </c>
      <c r="S9" s="27">
        <v>0</v>
      </c>
      <c r="T9" s="27">
        <v>0</v>
      </c>
      <c r="U9" s="31">
        <f>(3+1+1+1+1+3+1+1+1+1)/10</f>
        <v>1.4</v>
      </c>
    </row>
    <row r="10" spans="1:21" ht="128.25" thickBot="1" x14ac:dyDescent="0.3">
      <c r="B10" s="53"/>
      <c r="C10" s="2"/>
      <c r="D10" s="5" t="s">
        <v>39</v>
      </c>
      <c r="E10" s="4"/>
      <c r="F10" s="4"/>
      <c r="G10" s="4" t="s">
        <v>14</v>
      </c>
      <c r="H10" s="4" t="s">
        <v>21</v>
      </c>
      <c r="J10" s="19" t="s">
        <v>118</v>
      </c>
      <c r="K10" s="21" t="s">
        <v>125</v>
      </c>
      <c r="L10" s="25">
        <v>32.333333333333336</v>
      </c>
      <c r="M10" s="25">
        <v>29.333333333333332</v>
      </c>
      <c r="N10" s="28">
        <v>-0.40476190476190477</v>
      </c>
      <c r="O10" s="28">
        <v>-6.6666666666666666E-2</v>
      </c>
      <c r="P10" s="21" t="s">
        <v>125</v>
      </c>
      <c r="Q10" s="25">
        <v>12.5</v>
      </c>
      <c r="R10" s="25">
        <v>0.66666666666666663</v>
      </c>
      <c r="S10" s="28">
        <v>-1</v>
      </c>
      <c r="T10" s="28">
        <v>-1</v>
      </c>
      <c r="U10" s="31">
        <f>(1+3+3+1+1+1+3+1+1+1)/10</f>
        <v>1.6</v>
      </c>
    </row>
    <row r="11" spans="1:21" ht="90" thickBot="1" x14ac:dyDescent="0.3">
      <c r="B11" s="54"/>
      <c r="C11" s="2"/>
      <c r="D11" s="5" t="s">
        <v>40</v>
      </c>
      <c r="E11" s="4"/>
      <c r="F11" s="4"/>
      <c r="G11" s="4" t="s">
        <v>14</v>
      </c>
      <c r="H11" s="4" t="s">
        <v>31</v>
      </c>
      <c r="J11" s="19" t="s">
        <v>119</v>
      </c>
      <c r="K11" s="21" t="s">
        <v>124</v>
      </c>
      <c r="L11" s="25">
        <v>0</v>
      </c>
      <c r="M11" s="25">
        <v>16.466666666666665</v>
      </c>
      <c r="N11" s="28">
        <v>0</v>
      </c>
      <c r="O11" s="28">
        <v>0.41791044776119401</v>
      </c>
      <c r="P11" s="21" t="s">
        <v>124</v>
      </c>
      <c r="Q11" s="25">
        <v>0</v>
      </c>
      <c r="R11" s="25">
        <v>1</v>
      </c>
      <c r="S11" s="28">
        <v>0</v>
      </c>
      <c r="T11" s="28">
        <v>0</v>
      </c>
      <c r="U11" s="31">
        <f>(3+1+3+1+2+3+1+1+1+1)/10</f>
        <v>1.7</v>
      </c>
    </row>
    <row r="12" spans="1:21" ht="64.5" thickBot="1" x14ac:dyDescent="0.3">
      <c r="B12" s="52" t="s">
        <v>11</v>
      </c>
      <c r="C12" s="2" t="s">
        <v>41</v>
      </c>
      <c r="D12" s="3" t="s">
        <v>42</v>
      </c>
      <c r="E12" s="4" t="s">
        <v>14</v>
      </c>
      <c r="F12" s="4"/>
      <c r="G12" s="4"/>
      <c r="H12" s="4" t="s">
        <v>15</v>
      </c>
      <c r="J12" s="19" t="s">
        <v>120</v>
      </c>
      <c r="K12" s="21" t="s">
        <v>125</v>
      </c>
      <c r="L12" s="25">
        <v>0.33333333333333331</v>
      </c>
      <c r="M12" s="25">
        <v>1.3333333333333333</v>
      </c>
      <c r="N12" s="28">
        <v>0</v>
      </c>
      <c r="O12" s="28">
        <v>1</v>
      </c>
      <c r="P12" s="21" t="s">
        <v>125</v>
      </c>
      <c r="Q12" s="25">
        <v>0.6333333333333333</v>
      </c>
      <c r="R12" s="25">
        <v>2</v>
      </c>
      <c r="S12" s="28">
        <v>-0.28571428571428564</v>
      </c>
      <c r="T12" s="28">
        <v>0</v>
      </c>
      <c r="U12" s="31">
        <f>(1+1+1+1+3+1+1+1+1+1)/10</f>
        <v>1.2</v>
      </c>
    </row>
    <row r="13" spans="1:21" ht="115.5" thickBot="1" x14ac:dyDescent="0.3">
      <c r="B13" s="53"/>
      <c r="C13" s="2" t="s">
        <v>43</v>
      </c>
      <c r="D13" s="3" t="s">
        <v>44</v>
      </c>
      <c r="E13" s="4"/>
      <c r="F13" s="4" t="s">
        <v>14</v>
      </c>
      <c r="G13" s="4"/>
      <c r="H13" s="4" t="s">
        <v>21</v>
      </c>
      <c r="J13" s="19" t="s">
        <v>121</v>
      </c>
      <c r="K13" s="21" t="s">
        <v>125</v>
      </c>
      <c r="L13" s="25">
        <v>0</v>
      </c>
      <c r="M13" s="25">
        <v>1</v>
      </c>
      <c r="N13" s="28">
        <v>0</v>
      </c>
      <c r="O13" s="28">
        <v>0</v>
      </c>
      <c r="P13" s="21" t="s">
        <v>125</v>
      </c>
      <c r="Q13" s="25">
        <v>0</v>
      </c>
      <c r="R13" s="25">
        <v>1.6666666666666667</v>
      </c>
      <c r="S13" s="28">
        <v>0</v>
      </c>
      <c r="T13" s="28">
        <v>2</v>
      </c>
      <c r="U13" s="31">
        <f>(1+1+1+1+1+1+1+1+1+3)/10</f>
        <v>1.2</v>
      </c>
    </row>
    <row r="14" spans="1:21" ht="102.75" thickBot="1" x14ac:dyDescent="0.3">
      <c r="B14" s="53"/>
      <c r="C14" s="2" t="s">
        <v>45</v>
      </c>
      <c r="D14" s="3" t="s">
        <v>46</v>
      </c>
      <c r="E14" s="4"/>
      <c r="F14" s="4" t="s">
        <v>14</v>
      </c>
      <c r="G14" s="4"/>
      <c r="H14" s="4" t="s">
        <v>21</v>
      </c>
      <c r="J14" s="19" t="s">
        <v>122</v>
      </c>
      <c r="K14" s="21" t="s">
        <v>124</v>
      </c>
      <c r="L14" s="25">
        <v>1.3333333333333333</v>
      </c>
      <c r="M14" s="25">
        <v>2.6666666666666665</v>
      </c>
      <c r="N14" s="28">
        <v>-0.5</v>
      </c>
      <c r="O14" s="28">
        <v>-0.33333333333333331</v>
      </c>
      <c r="P14" s="21" t="s">
        <v>125</v>
      </c>
      <c r="Q14" s="25">
        <v>0.33333333333333331</v>
      </c>
      <c r="R14" s="25">
        <v>0.33333333333333331</v>
      </c>
      <c r="S14" s="28">
        <v>0</v>
      </c>
      <c r="T14" s="28">
        <v>0</v>
      </c>
      <c r="U14" s="31">
        <f>(3+1+1+1+1+1+1+1+1+1)/10</f>
        <v>1.2</v>
      </c>
    </row>
    <row r="15" spans="1:21" ht="141" thickBot="1" x14ac:dyDescent="0.3">
      <c r="B15" s="53"/>
      <c r="C15" s="3"/>
      <c r="D15" s="5" t="s">
        <v>47</v>
      </c>
      <c r="E15" s="4"/>
      <c r="F15" s="4"/>
      <c r="G15" s="4" t="s">
        <v>14</v>
      </c>
      <c r="H15" s="4" t="s">
        <v>21</v>
      </c>
      <c r="J15" s="20" t="s">
        <v>123</v>
      </c>
      <c r="K15" s="21" t="s">
        <v>125</v>
      </c>
      <c r="L15" s="25">
        <v>4.3758333333333335</v>
      </c>
      <c r="M15" s="25">
        <v>6.5229166666666671</v>
      </c>
      <c r="N15" s="28">
        <v>-0.37733333333333335</v>
      </c>
      <c r="O15" s="28">
        <v>7.5528700906344406E-2</v>
      </c>
      <c r="P15" s="21" t="s">
        <v>125</v>
      </c>
      <c r="Q15" s="25">
        <v>1.5351730158730159</v>
      </c>
      <c r="R15" s="25">
        <v>1.2222222222222223</v>
      </c>
      <c r="S15" s="28">
        <v>-0.89173871277617667</v>
      </c>
      <c r="T15" s="28">
        <v>0.44444444444444442</v>
      </c>
      <c r="U15" s="31">
        <f>(1+1+2+1+1+1+1+1+1+2)/10</f>
        <v>1.2</v>
      </c>
    </row>
    <row r="16" spans="1:21" ht="115.5" thickBot="1" x14ac:dyDescent="0.3">
      <c r="B16" s="54"/>
      <c r="C16" s="3"/>
      <c r="D16" s="5" t="s">
        <v>48</v>
      </c>
      <c r="E16" s="4"/>
      <c r="F16" s="4"/>
      <c r="G16" s="4" t="s">
        <v>14</v>
      </c>
      <c r="H16" s="4" t="s">
        <v>31</v>
      </c>
    </row>
  </sheetData>
  <mergeCells count="13">
    <mergeCell ref="U3:U5"/>
    <mergeCell ref="J3:J5"/>
    <mergeCell ref="B3:B4"/>
    <mergeCell ref="C3:C4"/>
    <mergeCell ref="D3:D4"/>
    <mergeCell ref="E3:G3"/>
    <mergeCell ref="H3:H4"/>
    <mergeCell ref="B5:H5"/>
    <mergeCell ref="B6:H6"/>
    <mergeCell ref="B7:B11"/>
    <mergeCell ref="B12:B16"/>
    <mergeCell ref="K3:O3"/>
    <mergeCell ref="P3:T3"/>
  </mergeCells>
  <conditionalFormatting sqref="K6:K14">
    <cfRule type="cellIs" dxfId="155" priority="28" operator="equal">
      <formula>"no"</formula>
    </cfRule>
    <cfRule type="cellIs" dxfId="154" priority="29" operator="equal">
      <formula>"yes"</formula>
    </cfRule>
  </conditionalFormatting>
  <conditionalFormatting sqref="K15">
    <cfRule type="cellIs" dxfId="153" priority="26" operator="equal">
      <formula>"no"</formula>
    </cfRule>
    <cfRule type="cellIs" dxfId="152" priority="27" operator="equal">
      <formula>"yes"</formula>
    </cfRule>
  </conditionalFormatting>
  <conditionalFormatting sqref="P6:P14">
    <cfRule type="cellIs" dxfId="151" priority="24" operator="equal">
      <formula>"no"</formula>
    </cfRule>
    <cfRule type="cellIs" dxfId="150" priority="25" operator="equal">
      <formula>"yes"</formula>
    </cfRule>
  </conditionalFormatting>
  <conditionalFormatting sqref="P15">
    <cfRule type="cellIs" dxfId="149" priority="22" operator="equal">
      <formula>"no"</formula>
    </cfRule>
    <cfRule type="cellIs" dxfId="148" priority="23" operator="equal">
      <formula>"yes"</formula>
    </cfRule>
  </conditionalFormatting>
  <conditionalFormatting sqref="L6:L15">
    <cfRule type="cellIs" dxfId="147" priority="19" operator="lessThan">
      <formula>5</formula>
    </cfRule>
    <cfRule type="cellIs" dxfId="146" priority="20" operator="between">
      <formula>5</formula>
      <formula>10</formula>
    </cfRule>
    <cfRule type="cellIs" dxfId="145" priority="21" operator="greaterThan">
      <formula>10</formula>
    </cfRule>
  </conditionalFormatting>
  <conditionalFormatting sqref="Q6:Q15">
    <cfRule type="cellIs" dxfId="144" priority="16" operator="lessThan">
      <formula>5</formula>
    </cfRule>
    <cfRule type="cellIs" dxfId="143" priority="17" operator="between">
      <formula>5</formula>
      <formula>10</formula>
    </cfRule>
    <cfRule type="cellIs" dxfId="142" priority="18" operator="greaterThan">
      <formula>10</formula>
    </cfRule>
  </conditionalFormatting>
  <conditionalFormatting sqref="M6:M15">
    <cfRule type="cellIs" dxfId="141" priority="13" operator="lessThan">
      <formula>5</formula>
    </cfRule>
    <cfRule type="cellIs" dxfId="140" priority="14" operator="between">
      <formula>5</formula>
      <formula>10</formula>
    </cfRule>
    <cfRule type="cellIs" dxfId="139" priority="15" operator="greaterThan">
      <formula>10</formula>
    </cfRule>
  </conditionalFormatting>
  <conditionalFormatting sqref="R6:R15">
    <cfRule type="cellIs" dxfId="138" priority="10" operator="lessThan">
      <formula>3</formula>
    </cfRule>
    <cfRule type="cellIs" dxfId="137" priority="11" operator="between">
      <formula>3</formula>
      <formula>5</formula>
    </cfRule>
    <cfRule type="cellIs" dxfId="136" priority="12" operator="greaterThan">
      <formula>5</formula>
    </cfRule>
  </conditionalFormatting>
  <conditionalFormatting sqref="N6:O15">
    <cfRule type="cellIs" dxfId="135" priority="7" operator="lessThan">
      <formula>20%</formula>
    </cfRule>
    <cfRule type="cellIs" dxfId="134" priority="8" operator="between">
      <formula>20%</formula>
      <formula>50%</formula>
    </cfRule>
    <cfRule type="cellIs" dxfId="133" priority="9" operator="greaterThan">
      <formula>50%</formula>
    </cfRule>
  </conditionalFormatting>
  <conditionalFormatting sqref="S6:T15">
    <cfRule type="cellIs" dxfId="132" priority="4" operator="lessThan">
      <formula>20%</formula>
    </cfRule>
    <cfRule type="cellIs" dxfId="131" priority="5" operator="between">
      <formula>20%</formula>
      <formula>50%</formula>
    </cfRule>
    <cfRule type="cellIs" dxfId="130" priority="6" operator="greaterThan">
      <formula>50%</formula>
    </cfRule>
  </conditionalFormatting>
  <conditionalFormatting sqref="U6:U15">
    <cfRule type="cellIs" dxfId="129" priority="1" operator="between">
      <formula>1.6</formula>
      <formula>2</formula>
    </cfRule>
    <cfRule type="cellIs" dxfId="128" priority="2" operator="lessThan">
      <formula>1.6</formula>
    </cfRule>
    <cfRule type="cellIs" dxfId="127" priority="3" operator="greaterThan">
      <formula>2</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15"/>
  <sheetViews>
    <sheetView zoomScale="70" zoomScaleNormal="70" workbookViewId="0">
      <selection activeCell="J1" activeCellId="1" sqref="B1 J1"/>
    </sheetView>
  </sheetViews>
  <sheetFormatPr baseColWidth="10" defaultRowHeight="15.75" x14ac:dyDescent="0.25"/>
  <sheetData>
    <row r="1" spans="2:18" ht="23.25" x14ac:dyDescent="0.35">
      <c r="B1" s="86" t="s">
        <v>146</v>
      </c>
      <c r="J1" s="86" t="s">
        <v>113</v>
      </c>
    </row>
    <row r="2" spans="2:18" ht="16.5" thickBot="1" x14ac:dyDescent="0.3"/>
    <row r="3" spans="2:18" ht="17.100000000000001" customHeight="1" thickBot="1" x14ac:dyDescent="0.3">
      <c r="B3" s="55" t="s">
        <v>1</v>
      </c>
      <c r="C3" s="55" t="s">
        <v>2</v>
      </c>
      <c r="D3" s="55" t="s">
        <v>3</v>
      </c>
      <c r="E3" s="57" t="s">
        <v>4</v>
      </c>
      <c r="F3" s="58"/>
      <c r="G3" s="59"/>
      <c r="H3" s="55" t="s">
        <v>5</v>
      </c>
      <c r="J3" s="66"/>
      <c r="K3" s="75" t="s">
        <v>50</v>
      </c>
      <c r="L3" s="76"/>
      <c r="M3" s="76"/>
      <c r="N3" s="76"/>
      <c r="O3" s="76"/>
      <c r="P3" s="76"/>
      <c r="Q3" s="77"/>
      <c r="R3" s="74" t="s">
        <v>141</v>
      </c>
    </row>
    <row r="4" spans="2:18" ht="17.100000000000001" customHeight="1" thickBot="1" x14ac:dyDescent="0.3">
      <c r="B4" s="56"/>
      <c r="C4" s="56"/>
      <c r="D4" s="56"/>
      <c r="E4" s="1" t="s">
        <v>6</v>
      </c>
      <c r="F4" s="1" t="s">
        <v>7</v>
      </c>
      <c r="G4" s="1" t="s">
        <v>8</v>
      </c>
      <c r="H4" s="56"/>
      <c r="J4" s="67"/>
      <c r="K4" s="78"/>
      <c r="L4" s="79"/>
      <c r="M4" s="79"/>
      <c r="N4" s="79"/>
      <c r="O4" s="79"/>
      <c r="P4" s="79"/>
      <c r="Q4" s="80"/>
      <c r="R4" s="74"/>
    </row>
    <row r="5" spans="2:18" ht="128.25" thickBot="1" x14ac:dyDescent="0.3">
      <c r="B5" s="57" t="s">
        <v>49</v>
      </c>
      <c r="C5" s="58"/>
      <c r="D5" s="58"/>
      <c r="E5" s="58"/>
      <c r="F5" s="58"/>
      <c r="G5" s="58"/>
      <c r="H5" s="59"/>
      <c r="J5" s="68"/>
      <c r="K5" s="16" t="s">
        <v>52</v>
      </c>
      <c r="L5" s="16" t="s">
        <v>54</v>
      </c>
      <c r="M5" s="16" t="s">
        <v>55</v>
      </c>
      <c r="N5" s="16" t="s">
        <v>56</v>
      </c>
      <c r="O5" s="16" t="s">
        <v>57</v>
      </c>
      <c r="P5" s="16" t="s">
        <v>59</v>
      </c>
      <c r="Q5" s="17" t="s">
        <v>60</v>
      </c>
      <c r="R5" s="74"/>
    </row>
    <row r="6" spans="2:18" ht="128.25" thickBot="1" x14ac:dyDescent="0.3">
      <c r="B6" s="52" t="s">
        <v>50</v>
      </c>
      <c r="C6" s="2" t="s">
        <v>51</v>
      </c>
      <c r="D6" s="3" t="s">
        <v>52</v>
      </c>
      <c r="E6" s="4" t="s">
        <v>14</v>
      </c>
      <c r="F6" s="4"/>
      <c r="G6" s="4"/>
      <c r="H6" s="4" t="s">
        <v>15</v>
      </c>
      <c r="J6" s="33" t="s">
        <v>114</v>
      </c>
      <c r="K6" s="29" t="s">
        <v>124</v>
      </c>
      <c r="L6" s="29" t="s">
        <v>125</v>
      </c>
      <c r="M6" s="29" t="s">
        <v>125</v>
      </c>
      <c r="N6" s="25">
        <v>7.333333333333333</v>
      </c>
      <c r="O6" s="25">
        <v>73</v>
      </c>
      <c r="P6" s="29" t="s">
        <v>125</v>
      </c>
      <c r="Q6" s="28">
        <v>-0.31</v>
      </c>
      <c r="R6" s="36">
        <f>(3+1+1+1+2+1+1)/7</f>
        <v>1.4285714285714286</v>
      </c>
    </row>
    <row r="7" spans="2:18" ht="77.25" thickBot="1" x14ac:dyDescent="0.3">
      <c r="B7" s="53"/>
      <c r="C7" s="2" t="s">
        <v>53</v>
      </c>
      <c r="D7" s="3" t="s">
        <v>54</v>
      </c>
      <c r="E7" s="4" t="s">
        <v>14</v>
      </c>
      <c r="F7" s="4"/>
      <c r="G7" s="4"/>
      <c r="H7" s="4" t="s">
        <v>15</v>
      </c>
      <c r="J7" s="34" t="s">
        <v>115</v>
      </c>
      <c r="K7" s="37" t="s">
        <v>124</v>
      </c>
      <c r="L7" s="37" t="s">
        <v>124</v>
      </c>
      <c r="M7" s="37" t="s">
        <v>124</v>
      </c>
      <c r="N7" s="25">
        <v>2.6666666666666665</v>
      </c>
      <c r="O7" s="25">
        <v>25</v>
      </c>
      <c r="P7" s="37" t="s">
        <v>124</v>
      </c>
      <c r="Q7" s="28">
        <v>50</v>
      </c>
      <c r="R7" s="36">
        <f>(3+3+3+1+1+3+3)/7</f>
        <v>2.4285714285714284</v>
      </c>
    </row>
    <row r="8" spans="2:18" ht="90" thickBot="1" x14ac:dyDescent="0.3">
      <c r="B8" s="53"/>
      <c r="C8" s="3"/>
      <c r="D8" s="3" t="s">
        <v>55</v>
      </c>
      <c r="E8" s="4" t="s">
        <v>14</v>
      </c>
      <c r="F8" s="4"/>
      <c r="G8" s="4"/>
      <c r="H8" s="4" t="s">
        <v>15</v>
      </c>
      <c r="J8" s="34" t="s">
        <v>116</v>
      </c>
      <c r="K8" s="37" t="s">
        <v>124</v>
      </c>
      <c r="L8" s="37" t="s">
        <v>124</v>
      </c>
      <c r="M8" s="37" t="s">
        <v>124</v>
      </c>
      <c r="N8" s="25">
        <v>21.666666666666668</v>
      </c>
      <c r="O8" s="25">
        <v>55</v>
      </c>
      <c r="P8" s="37" t="s">
        <v>124</v>
      </c>
      <c r="Q8" s="28">
        <v>0.3</v>
      </c>
      <c r="R8" s="36">
        <f>(3+3+3+2+2+3+1)/7</f>
        <v>2.4285714285714284</v>
      </c>
    </row>
    <row r="9" spans="2:18" ht="64.5" thickBot="1" x14ac:dyDescent="0.3">
      <c r="B9" s="53"/>
      <c r="C9" s="3"/>
      <c r="D9" s="3" t="s">
        <v>56</v>
      </c>
      <c r="E9" s="4" t="s">
        <v>14</v>
      </c>
      <c r="F9" s="4"/>
      <c r="G9" s="4"/>
      <c r="H9" s="4" t="s">
        <v>18</v>
      </c>
      <c r="J9" s="34" t="s">
        <v>117</v>
      </c>
      <c r="K9" s="37" t="s">
        <v>125</v>
      </c>
      <c r="L9" s="37" t="s">
        <v>124</v>
      </c>
      <c r="M9" s="37" t="s">
        <v>124</v>
      </c>
      <c r="N9" s="25">
        <v>5</v>
      </c>
      <c r="O9" s="25">
        <v>27.666666666666668</v>
      </c>
      <c r="P9" s="37" t="s">
        <v>124</v>
      </c>
      <c r="Q9" s="28">
        <v>33</v>
      </c>
      <c r="R9" s="36">
        <f>(1+3+3+1+1+3+3)/7</f>
        <v>2.1428571428571428</v>
      </c>
    </row>
    <row r="10" spans="2:18" ht="90" thickBot="1" x14ac:dyDescent="0.3">
      <c r="B10" s="53"/>
      <c r="C10" s="3"/>
      <c r="D10" s="3" t="s">
        <v>57</v>
      </c>
      <c r="E10" s="4"/>
      <c r="F10" s="4" t="s">
        <v>14</v>
      </c>
      <c r="G10" s="4"/>
      <c r="H10" s="4" t="s">
        <v>21</v>
      </c>
      <c r="J10" s="34" t="s">
        <v>118</v>
      </c>
      <c r="K10" s="37" t="s">
        <v>125</v>
      </c>
      <c r="L10" s="37" t="s">
        <v>125</v>
      </c>
      <c r="M10" s="37" t="s">
        <v>125</v>
      </c>
      <c r="N10" s="25">
        <v>8</v>
      </c>
      <c r="O10" s="25">
        <v>83.333333333333329</v>
      </c>
      <c r="P10" s="29" t="s">
        <v>125</v>
      </c>
      <c r="Q10" s="28">
        <v>-0.1111111111111111</v>
      </c>
      <c r="R10" s="36">
        <f>(1+1+1+1+3+1+1)/7</f>
        <v>1.2857142857142858</v>
      </c>
    </row>
    <row r="11" spans="2:18" ht="90" thickBot="1" x14ac:dyDescent="0.3">
      <c r="B11" s="53"/>
      <c r="C11" s="2" t="s">
        <v>58</v>
      </c>
      <c r="D11" s="3" t="s">
        <v>59</v>
      </c>
      <c r="E11" s="4" t="s">
        <v>14</v>
      </c>
      <c r="F11" s="4"/>
      <c r="G11" s="4"/>
      <c r="H11" s="4" t="s">
        <v>15</v>
      </c>
      <c r="J11" s="34" t="s">
        <v>119</v>
      </c>
      <c r="K11" s="37" t="s">
        <v>124</v>
      </c>
      <c r="L11" s="37" t="s">
        <v>124</v>
      </c>
      <c r="M11" s="37" t="s">
        <v>124</v>
      </c>
      <c r="N11" s="25">
        <v>17.666666666666668</v>
      </c>
      <c r="O11" s="25">
        <v>40.5</v>
      </c>
      <c r="P11" s="37" t="s">
        <v>124</v>
      </c>
      <c r="Q11" s="28">
        <v>5.2631578947368418E-2</v>
      </c>
      <c r="R11" s="36">
        <f>(3+3+3+2+1+3+1)/7</f>
        <v>2.2857142857142856</v>
      </c>
    </row>
    <row r="12" spans="2:18" ht="51.75" thickBot="1" x14ac:dyDescent="0.3">
      <c r="B12" s="54"/>
      <c r="C12" s="3"/>
      <c r="D12" s="5" t="s">
        <v>60</v>
      </c>
      <c r="E12" s="4"/>
      <c r="F12" s="4"/>
      <c r="G12" s="4" t="s">
        <v>14</v>
      </c>
      <c r="H12" s="4" t="s">
        <v>31</v>
      </c>
      <c r="J12" s="34" t="s">
        <v>120</v>
      </c>
      <c r="K12" s="37" t="s">
        <v>124</v>
      </c>
      <c r="L12" s="37" t="s">
        <v>125</v>
      </c>
      <c r="M12" s="37" t="s">
        <v>125</v>
      </c>
      <c r="N12" s="25">
        <v>24</v>
      </c>
      <c r="O12" s="25">
        <v>12</v>
      </c>
      <c r="P12" s="37" t="s">
        <v>125</v>
      </c>
      <c r="Q12" s="28">
        <v>0.66666666666666663</v>
      </c>
      <c r="R12" s="36">
        <f>(3+1+1+2+1+1+2)/7</f>
        <v>1.5714285714285714</v>
      </c>
    </row>
    <row r="13" spans="2:18" ht="38.25" x14ac:dyDescent="0.25">
      <c r="J13" s="34" t="s">
        <v>121</v>
      </c>
      <c r="K13" s="37" t="s">
        <v>125</v>
      </c>
      <c r="L13" s="37" t="s">
        <v>124</v>
      </c>
      <c r="M13" s="37" t="s">
        <v>125</v>
      </c>
      <c r="N13" s="25">
        <v>11.666666666666666</v>
      </c>
      <c r="O13" s="25">
        <v>2</v>
      </c>
      <c r="P13" s="37" t="s">
        <v>125</v>
      </c>
      <c r="Q13" s="28">
        <v>2</v>
      </c>
      <c r="R13" s="36">
        <f>(1+3+1+2+1+1+3)/7</f>
        <v>1.7142857142857142</v>
      </c>
    </row>
    <row r="14" spans="2:18" ht="25.5" x14ac:dyDescent="0.25">
      <c r="J14" s="34" t="s">
        <v>122</v>
      </c>
      <c r="K14" s="37" t="s">
        <v>124</v>
      </c>
      <c r="L14" s="37" t="s">
        <v>125</v>
      </c>
      <c r="M14" s="37" t="s">
        <v>125</v>
      </c>
      <c r="N14" s="25">
        <v>85</v>
      </c>
      <c r="O14" s="25">
        <v>10</v>
      </c>
      <c r="P14" s="37" t="s">
        <v>125</v>
      </c>
      <c r="Q14" s="28">
        <v>0</v>
      </c>
      <c r="R14" s="36">
        <f>(3+1+1+3+1+1+1)/7</f>
        <v>1.5714285714285714</v>
      </c>
    </row>
    <row r="15" spans="2:18" ht="25.5" x14ac:dyDescent="0.25">
      <c r="J15" s="35" t="s">
        <v>123</v>
      </c>
      <c r="K15" s="37" t="s">
        <v>124</v>
      </c>
      <c r="L15" s="37" t="s">
        <v>124</v>
      </c>
      <c r="M15" s="37" t="s">
        <v>125</v>
      </c>
      <c r="N15" s="25">
        <v>20.333333333333332</v>
      </c>
      <c r="O15" s="25">
        <v>36.5</v>
      </c>
      <c r="P15" s="37" t="s">
        <v>125</v>
      </c>
      <c r="Q15" s="28">
        <v>9.5109096816114356</v>
      </c>
      <c r="R15" s="36">
        <f>(3+3+1+2+1+1+3)/7</f>
        <v>2</v>
      </c>
    </row>
  </sheetData>
  <mergeCells count="10">
    <mergeCell ref="B6:B12"/>
    <mergeCell ref="R3:R5"/>
    <mergeCell ref="K3:Q4"/>
    <mergeCell ref="J3:J5"/>
    <mergeCell ref="B3:B4"/>
    <mergeCell ref="C3:C4"/>
    <mergeCell ref="D3:D4"/>
    <mergeCell ref="E3:G3"/>
    <mergeCell ref="H3:H4"/>
    <mergeCell ref="B5:H5"/>
  </mergeCells>
  <conditionalFormatting sqref="R6:R15">
    <cfRule type="cellIs" dxfId="126" priority="24" operator="between">
      <formula>1.6</formula>
      <formula>2</formula>
    </cfRule>
    <cfRule type="cellIs" dxfId="125" priority="25" operator="lessThan">
      <formula>1.6</formula>
    </cfRule>
    <cfRule type="cellIs" dxfId="124" priority="26" operator="greaterThan">
      <formula>2</formula>
    </cfRule>
  </conditionalFormatting>
  <conditionalFormatting sqref="K6:K14">
    <cfRule type="cellIs" dxfId="123" priority="22" operator="equal">
      <formula>"no"</formula>
    </cfRule>
    <cfRule type="cellIs" dxfId="122" priority="23" operator="equal">
      <formula>"yes"</formula>
    </cfRule>
  </conditionalFormatting>
  <conditionalFormatting sqref="K15">
    <cfRule type="cellIs" dxfId="121" priority="20" operator="equal">
      <formula>"no"</formula>
    </cfRule>
    <cfRule type="cellIs" dxfId="120" priority="21" operator="equal">
      <formula>"yes"</formula>
    </cfRule>
  </conditionalFormatting>
  <conditionalFormatting sqref="L6:M14">
    <cfRule type="cellIs" dxfId="119" priority="18" operator="equal">
      <formula>"no"</formula>
    </cfRule>
    <cfRule type="cellIs" dxfId="118" priority="19" operator="equal">
      <formula>"yes"</formula>
    </cfRule>
  </conditionalFormatting>
  <conditionalFormatting sqref="M15">
    <cfRule type="cellIs" dxfId="117" priority="16" operator="equal">
      <formula>"no"</formula>
    </cfRule>
    <cfRule type="cellIs" dxfId="116" priority="17" operator="equal">
      <formula>"yes"</formula>
    </cfRule>
  </conditionalFormatting>
  <conditionalFormatting sqref="L15">
    <cfRule type="cellIs" dxfId="115" priority="14" operator="equal">
      <formula>"no"</formula>
    </cfRule>
    <cfRule type="cellIs" dxfId="114" priority="15" operator="equal">
      <formula>"yes"</formula>
    </cfRule>
  </conditionalFormatting>
  <conditionalFormatting sqref="N6:N15">
    <cfRule type="cellIs" dxfId="113" priority="11" operator="lessThan">
      <formula>10</formula>
    </cfRule>
    <cfRule type="cellIs" dxfId="112" priority="12" operator="between">
      <formula>10</formula>
      <formula>30</formula>
    </cfRule>
    <cfRule type="cellIs" dxfId="111" priority="13" operator="greaterThan">
      <formula>30</formula>
    </cfRule>
  </conditionalFormatting>
  <conditionalFormatting sqref="O6:O15">
    <cfRule type="cellIs" dxfId="110" priority="8" operator="lessThan">
      <formula>50</formula>
    </cfRule>
    <cfRule type="cellIs" dxfId="109" priority="9" operator="between">
      <formula>50</formula>
      <formula>75</formula>
    </cfRule>
    <cfRule type="cellIs" dxfId="108" priority="10" operator="greaterThan">
      <formula>75</formula>
    </cfRule>
  </conditionalFormatting>
  <conditionalFormatting sqref="P10:P15">
    <cfRule type="cellIs" dxfId="107" priority="6" operator="equal">
      <formula>"no"</formula>
    </cfRule>
    <cfRule type="cellIs" dxfId="106" priority="7" operator="equal">
      <formula>"yes"</formula>
    </cfRule>
  </conditionalFormatting>
  <conditionalFormatting sqref="P6:P9">
    <cfRule type="cellIs" dxfId="105" priority="4" operator="equal">
      <formula>"no"</formula>
    </cfRule>
    <cfRule type="cellIs" dxfId="104" priority="5" operator="equal">
      <formula>"yes"</formula>
    </cfRule>
  </conditionalFormatting>
  <conditionalFormatting sqref="Q6:Q15">
    <cfRule type="cellIs" dxfId="103" priority="1" operator="lessThan">
      <formula>0.5</formula>
    </cfRule>
    <cfRule type="cellIs" dxfId="102" priority="2" operator="between">
      <formula>0.5</formula>
      <formula>1</formula>
    </cfRule>
    <cfRule type="cellIs" dxfId="101" priority="3" operator="greaterThan">
      <formula>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5"/>
  <sheetViews>
    <sheetView zoomScale="70" zoomScaleNormal="70" workbookViewId="0">
      <selection activeCell="J1" activeCellId="1" sqref="B1 J1"/>
    </sheetView>
  </sheetViews>
  <sheetFormatPr baseColWidth="10" defaultRowHeight="15.75" x14ac:dyDescent="0.25"/>
  <sheetData>
    <row r="1" spans="2:16" ht="23.25" x14ac:dyDescent="0.35">
      <c r="B1" s="86" t="s">
        <v>146</v>
      </c>
      <c r="J1" s="86" t="s">
        <v>113</v>
      </c>
    </row>
    <row r="2" spans="2:16" ht="16.5" thickBot="1" x14ac:dyDescent="0.3"/>
    <row r="3" spans="2:16" ht="45" customHeight="1" thickBot="1" x14ac:dyDescent="0.3">
      <c r="B3" s="55" t="s">
        <v>1</v>
      </c>
      <c r="C3" s="55" t="s">
        <v>2</v>
      </c>
      <c r="D3" s="55" t="s">
        <v>3</v>
      </c>
      <c r="E3" s="57" t="s">
        <v>4</v>
      </c>
      <c r="F3" s="58"/>
      <c r="G3" s="59"/>
      <c r="H3" s="55" t="s">
        <v>5</v>
      </c>
    </row>
    <row r="4" spans="2:16" ht="17.100000000000001" customHeight="1" thickBot="1" x14ac:dyDescent="0.3">
      <c r="B4" s="56"/>
      <c r="C4" s="56"/>
      <c r="D4" s="56"/>
      <c r="E4" s="1" t="s">
        <v>6</v>
      </c>
      <c r="F4" s="1" t="s">
        <v>7</v>
      </c>
      <c r="G4" s="1" t="s">
        <v>8</v>
      </c>
      <c r="H4" s="56"/>
      <c r="J4" s="13"/>
      <c r="K4" s="13"/>
      <c r="L4" s="13"/>
      <c r="M4" s="13"/>
      <c r="N4" s="13"/>
      <c r="O4" s="13"/>
      <c r="P4" s="38"/>
    </row>
    <row r="5" spans="2:16" ht="90" thickBot="1" x14ac:dyDescent="0.3">
      <c r="B5" s="57" t="s">
        <v>61</v>
      </c>
      <c r="C5" s="58"/>
      <c r="D5" s="58"/>
      <c r="E5" s="58"/>
      <c r="F5" s="58"/>
      <c r="G5" s="58"/>
      <c r="H5" s="59"/>
      <c r="J5" s="14"/>
      <c r="K5" s="16" t="s">
        <v>62</v>
      </c>
      <c r="L5" s="16" t="s">
        <v>63</v>
      </c>
      <c r="M5" s="16" t="s">
        <v>64</v>
      </c>
      <c r="N5" s="17" t="s">
        <v>65</v>
      </c>
      <c r="O5" s="17" t="s">
        <v>66</v>
      </c>
      <c r="P5" s="39" t="s">
        <v>141</v>
      </c>
    </row>
    <row r="6" spans="2:16" ht="77.25" thickBot="1" x14ac:dyDescent="0.3">
      <c r="B6" s="6"/>
      <c r="C6" s="3"/>
      <c r="D6" s="3" t="s">
        <v>62</v>
      </c>
      <c r="E6" s="4" t="s">
        <v>14</v>
      </c>
      <c r="F6" s="4"/>
      <c r="G6" s="4"/>
      <c r="H6" s="4" t="s">
        <v>15</v>
      </c>
      <c r="J6" s="19" t="s">
        <v>114</v>
      </c>
      <c r="K6" s="29" t="s">
        <v>124</v>
      </c>
      <c r="L6" s="29">
        <v>35000</v>
      </c>
      <c r="M6" s="24">
        <v>3.5000000000000003E-2</v>
      </c>
      <c r="N6" s="25">
        <v>0</v>
      </c>
      <c r="O6" s="25">
        <v>0</v>
      </c>
      <c r="P6" s="31">
        <f>(3+3+1+1+1)/5</f>
        <v>1.8</v>
      </c>
    </row>
    <row r="7" spans="2:16" ht="51.75" thickBot="1" x14ac:dyDescent="0.3">
      <c r="B7" s="6"/>
      <c r="C7" s="3"/>
      <c r="D7" s="3" t="s">
        <v>63</v>
      </c>
      <c r="E7" s="4" t="s">
        <v>14</v>
      </c>
      <c r="F7" s="4"/>
      <c r="G7" s="4"/>
      <c r="H7" s="4" t="s">
        <v>18</v>
      </c>
      <c r="J7" s="19" t="s">
        <v>115</v>
      </c>
      <c r="K7" s="37" t="s">
        <v>125</v>
      </c>
      <c r="L7" s="29">
        <v>0</v>
      </c>
      <c r="M7" s="24">
        <v>0</v>
      </c>
      <c r="N7" s="25">
        <v>0</v>
      </c>
      <c r="O7" s="25">
        <v>0</v>
      </c>
      <c r="P7" s="31">
        <f>(1+1+1+1+1)/5</f>
        <v>1</v>
      </c>
    </row>
    <row r="8" spans="2:16" ht="90" thickBot="1" x14ac:dyDescent="0.3">
      <c r="B8" s="6"/>
      <c r="C8" s="3"/>
      <c r="D8" s="3" t="s">
        <v>64</v>
      </c>
      <c r="E8" s="4" t="s">
        <v>14</v>
      </c>
      <c r="F8" s="4"/>
      <c r="G8" s="4"/>
      <c r="H8" s="4" t="s">
        <v>21</v>
      </c>
      <c r="J8" s="19" t="s">
        <v>116</v>
      </c>
      <c r="K8" s="37" t="s">
        <v>124</v>
      </c>
      <c r="L8" s="29">
        <v>0</v>
      </c>
      <c r="M8" s="24">
        <v>0</v>
      </c>
      <c r="N8" s="25">
        <v>0</v>
      </c>
      <c r="O8" s="25">
        <v>0</v>
      </c>
      <c r="P8" s="31">
        <f>(3+1+1+1+1)/5</f>
        <v>1.4</v>
      </c>
    </row>
    <row r="9" spans="2:16" ht="90" thickBot="1" x14ac:dyDescent="0.3">
      <c r="B9" s="6"/>
      <c r="C9" s="3"/>
      <c r="D9" s="5" t="s">
        <v>65</v>
      </c>
      <c r="E9" s="4"/>
      <c r="F9" s="4" t="s">
        <v>14</v>
      </c>
      <c r="G9" s="4"/>
      <c r="H9" s="4" t="s">
        <v>21</v>
      </c>
      <c r="J9" s="19" t="s">
        <v>117</v>
      </c>
      <c r="K9" s="37" t="s">
        <v>125</v>
      </c>
      <c r="L9" s="29">
        <v>0</v>
      </c>
      <c r="M9" s="24">
        <v>0</v>
      </c>
      <c r="N9" s="25">
        <v>0</v>
      </c>
      <c r="O9" s="25">
        <v>0</v>
      </c>
      <c r="P9" s="31">
        <f>(1+1+1+1+1)/5</f>
        <v>1</v>
      </c>
    </row>
    <row r="10" spans="2:16" ht="90" thickBot="1" x14ac:dyDescent="0.3">
      <c r="B10" s="6"/>
      <c r="C10" s="3"/>
      <c r="D10" s="5" t="s">
        <v>66</v>
      </c>
      <c r="E10" s="4"/>
      <c r="F10" s="4" t="s">
        <v>14</v>
      </c>
      <c r="G10" s="4"/>
      <c r="H10" s="4" t="s">
        <v>31</v>
      </c>
      <c r="J10" s="19" t="s">
        <v>118</v>
      </c>
      <c r="K10" s="37" t="s">
        <v>125</v>
      </c>
      <c r="L10" s="29">
        <v>0</v>
      </c>
      <c r="M10" s="24">
        <v>0</v>
      </c>
      <c r="N10" s="25">
        <v>0</v>
      </c>
      <c r="O10" s="25">
        <v>0</v>
      </c>
      <c r="P10" s="31">
        <f>(1+1+1+1+1)/5</f>
        <v>1</v>
      </c>
    </row>
    <row r="11" spans="2:16" ht="38.25" x14ac:dyDescent="0.25">
      <c r="J11" s="19" t="s">
        <v>119</v>
      </c>
      <c r="K11" s="37" t="s">
        <v>124</v>
      </c>
      <c r="L11" s="29">
        <v>5000</v>
      </c>
      <c r="M11" s="24">
        <v>1</v>
      </c>
      <c r="N11" s="25">
        <v>0</v>
      </c>
      <c r="O11" s="25">
        <v>150</v>
      </c>
      <c r="P11" s="31">
        <f>(3+1+2+1+3)/5</f>
        <v>2</v>
      </c>
    </row>
    <row r="12" spans="2:16" ht="25.5" x14ac:dyDescent="0.25">
      <c r="J12" s="19" t="s">
        <v>120</v>
      </c>
      <c r="K12" s="37" t="s">
        <v>125</v>
      </c>
      <c r="L12" s="29">
        <v>10000</v>
      </c>
      <c r="M12" s="24">
        <v>2</v>
      </c>
      <c r="N12" s="25">
        <v>0</v>
      </c>
      <c r="O12" s="25">
        <v>0</v>
      </c>
      <c r="P12" s="31">
        <f>(1+2+2+1+1)/5</f>
        <v>1.4</v>
      </c>
    </row>
    <row r="13" spans="2:16" ht="38.25" x14ac:dyDescent="0.25">
      <c r="J13" s="19" t="s">
        <v>121</v>
      </c>
      <c r="K13" s="37" t="s">
        <v>125</v>
      </c>
      <c r="L13" s="29">
        <v>0</v>
      </c>
      <c r="M13" s="24">
        <v>0</v>
      </c>
      <c r="N13" s="25">
        <v>0</v>
      </c>
      <c r="O13" s="25">
        <v>0</v>
      </c>
      <c r="P13" s="31">
        <f>(1+1+1+1+1)/5</f>
        <v>1</v>
      </c>
    </row>
    <row r="14" spans="2:16" ht="25.5" x14ac:dyDescent="0.25">
      <c r="J14" s="19" t="s">
        <v>122</v>
      </c>
      <c r="K14" s="37" t="s">
        <v>125</v>
      </c>
      <c r="L14" s="29">
        <v>0</v>
      </c>
      <c r="M14" s="24">
        <v>0</v>
      </c>
      <c r="N14" s="25">
        <v>0</v>
      </c>
      <c r="O14" s="25">
        <v>0</v>
      </c>
      <c r="P14" s="31">
        <f>(1+1+1+1+1)/5</f>
        <v>1</v>
      </c>
    </row>
    <row r="15" spans="2:16" ht="25.5" x14ac:dyDescent="0.25">
      <c r="J15" s="20" t="s">
        <v>123</v>
      </c>
      <c r="K15" s="37" t="s">
        <v>125</v>
      </c>
      <c r="L15" s="29">
        <v>5555.5555555555557</v>
      </c>
      <c r="M15" s="24">
        <v>0.33722222222222226</v>
      </c>
      <c r="N15" s="25">
        <v>0</v>
      </c>
      <c r="O15" s="25">
        <v>16.666666666666668</v>
      </c>
      <c r="P15" s="31">
        <f>(1+1+1+1+3)/5</f>
        <v>1.4</v>
      </c>
    </row>
  </sheetData>
  <mergeCells count="6">
    <mergeCell ref="D3:D4"/>
    <mergeCell ref="E3:G3"/>
    <mergeCell ref="H3:H4"/>
    <mergeCell ref="B5:H5"/>
    <mergeCell ref="B3:B4"/>
    <mergeCell ref="C3:C4"/>
  </mergeCells>
  <conditionalFormatting sqref="P6:P15">
    <cfRule type="cellIs" dxfId="100" priority="17" operator="between">
      <formula>1.6</formula>
      <formula>2</formula>
    </cfRule>
    <cfRule type="cellIs" dxfId="99" priority="18" operator="lessThan">
      <formula>1.6</formula>
    </cfRule>
    <cfRule type="cellIs" dxfId="98" priority="19" operator="greaterThan">
      <formula>2</formula>
    </cfRule>
  </conditionalFormatting>
  <conditionalFormatting sqref="K6:K14">
    <cfRule type="cellIs" dxfId="97" priority="15" operator="equal">
      <formula>"no"</formula>
    </cfRule>
    <cfRule type="cellIs" dxfId="96" priority="16" operator="equal">
      <formula>"yes"</formula>
    </cfRule>
  </conditionalFormatting>
  <conditionalFormatting sqref="K15">
    <cfRule type="cellIs" dxfId="95" priority="13" operator="equal">
      <formula>"no"</formula>
    </cfRule>
    <cfRule type="cellIs" dxfId="94" priority="14" operator="equal">
      <formula>"yes"</formula>
    </cfRule>
  </conditionalFormatting>
  <conditionalFormatting sqref="L6:L15">
    <cfRule type="cellIs" dxfId="93" priority="10" operator="lessThan">
      <formula>10000</formula>
    </cfRule>
    <cfRule type="cellIs" dxfId="92" priority="11" operator="between">
      <formula>10000</formula>
      <formula>20000</formula>
    </cfRule>
    <cfRule type="cellIs" dxfId="91" priority="12" operator="greaterThan">
      <formula>20000</formula>
    </cfRule>
  </conditionalFormatting>
  <conditionalFormatting sqref="M6:M15">
    <cfRule type="cellIs" dxfId="90" priority="7" operator="lessThan">
      <formula>1</formula>
    </cfRule>
    <cfRule type="cellIs" dxfId="89" priority="8" operator="between">
      <formula>1</formula>
      <formula>3</formula>
    </cfRule>
    <cfRule type="cellIs" dxfId="88" priority="9" operator="greaterThan">
      <formula>3</formula>
    </cfRule>
  </conditionalFormatting>
  <conditionalFormatting sqref="N6:N15">
    <cfRule type="cellIs" dxfId="87" priority="4" operator="lessThan">
      <formula>0.2</formula>
    </cfRule>
    <cfRule type="cellIs" dxfId="86" priority="5" operator="between">
      <formula>0.2</formula>
      <formula>0.3</formula>
    </cfRule>
    <cfRule type="cellIs" dxfId="85" priority="6" operator="greaterThan">
      <formula>0.3</formula>
    </cfRule>
  </conditionalFormatting>
  <conditionalFormatting sqref="O6:O15">
    <cfRule type="cellIs" dxfId="84" priority="1" operator="lessThan">
      <formula>0.2</formula>
    </cfRule>
    <cfRule type="cellIs" dxfId="83" priority="2" operator="between">
      <formula>0.2</formula>
      <formula>0.3</formula>
    </cfRule>
    <cfRule type="cellIs" dxfId="82" priority="3" operator="greaterThan">
      <formula>0.3</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8"/>
  <sheetViews>
    <sheetView zoomScale="70" zoomScaleNormal="70" workbookViewId="0">
      <selection activeCell="J1" activeCellId="1" sqref="B1 J1"/>
    </sheetView>
  </sheetViews>
  <sheetFormatPr baseColWidth="10" defaultRowHeight="15.75" x14ac:dyDescent="0.25"/>
  <cols>
    <col min="13" max="15" width="11" bestFit="1" customWidth="1"/>
    <col min="16" max="16" width="12.625" bestFit="1" customWidth="1"/>
    <col min="17" max="17" width="11" bestFit="1" customWidth="1"/>
  </cols>
  <sheetData>
    <row r="1" spans="2:25" ht="23.25" x14ac:dyDescent="0.35">
      <c r="B1" s="86" t="s">
        <v>146</v>
      </c>
      <c r="J1" s="86" t="s">
        <v>113</v>
      </c>
    </row>
    <row r="2" spans="2:25" ht="16.5" thickBot="1" x14ac:dyDescent="0.3"/>
    <row r="3" spans="2:25" ht="17.100000000000001" customHeight="1" thickBot="1" x14ac:dyDescent="0.3">
      <c r="B3" s="55" t="s">
        <v>1</v>
      </c>
      <c r="C3" s="55" t="s">
        <v>2</v>
      </c>
      <c r="D3" s="55" t="s">
        <v>3</v>
      </c>
      <c r="E3" s="57" t="s">
        <v>4</v>
      </c>
      <c r="F3" s="58"/>
      <c r="G3" s="59"/>
      <c r="H3" s="55" t="s">
        <v>5</v>
      </c>
    </row>
    <row r="4" spans="2:25" ht="177.95" customHeight="1" thickBot="1" x14ac:dyDescent="0.3">
      <c r="B4" s="56"/>
      <c r="C4" s="56"/>
      <c r="D4" s="56"/>
      <c r="E4" s="1" t="s">
        <v>6</v>
      </c>
      <c r="F4" s="1" t="s">
        <v>7</v>
      </c>
      <c r="G4" s="1" t="s">
        <v>8</v>
      </c>
      <c r="H4" s="56"/>
      <c r="J4" s="14"/>
      <c r="K4" s="16" t="s">
        <v>69</v>
      </c>
      <c r="L4" s="16" t="s">
        <v>70</v>
      </c>
      <c r="M4" s="16" t="s">
        <v>72</v>
      </c>
      <c r="N4" s="16" t="s">
        <v>73</v>
      </c>
      <c r="O4" s="16" t="s">
        <v>74</v>
      </c>
      <c r="P4" s="16" t="s">
        <v>76</v>
      </c>
      <c r="Q4" s="16" t="s">
        <v>78</v>
      </c>
      <c r="R4" s="17" t="s">
        <v>79</v>
      </c>
      <c r="S4" s="17" t="s">
        <v>80</v>
      </c>
      <c r="T4" s="17" t="s">
        <v>81</v>
      </c>
      <c r="U4" s="17" t="s">
        <v>82</v>
      </c>
      <c r="V4" s="17" t="s">
        <v>83</v>
      </c>
      <c r="W4" s="17" t="s">
        <v>84</v>
      </c>
      <c r="X4" s="39" t="s">
        <v>141</v>
      </c>
    </row>
    <row r="5" spans="2:25" ht="102" customHeight="1" thickBot="1" x14ac:dyDescent="0.3">
      <c r="B5" s="57" t="s">
        <v>67</v>
      </c>
      <c r="C5" s="58"/>
      <c r="D5" s="58"/>
      <c r="E5" s="58"/>
      <c r="F5" s="58"/>
      <c r="G5" s="58"/>
      <c r="H5" s="59"/>
      <c r="J5" s="19" t="s">
        <v>114</v>
      </c>
      <c r="K5" s="29" t="s">
        <v>125</v>
      </c>
      <c r="L5" s="29" t="s">
        <v>125</v>
      </c>
      <c r="M5" s="25">
        <v>3</v>
      </c>
      <c r="N5" s="25">
        <v>0</v>
      </c>
      <c r="O5" s="25">
        <v>0</v>
      </c>
      <c r="P5" s="25">
        <v>1.6666666666666667</v>
      </c>
      <c r="Q5" s="25">
        <v>2.3333333333333335</v>
      </c>
      <c r="R5" s="29" t="s">
        <v>125</v>
      </c>
      <c r="S5" s="25">
        <v>1</v>
      </c>
      <c r="T5" s="25">
        <v>0</v>
      </c>
      <c r="U5" s="25">
        <v>0</v>
      </c>
      <c r="V5" s="25">
        <v>1</v>
      </c>
      <c r="W5" s="25">
        <v>4</v>
      </c>
      <c r="X5" s="31">
        <f>(1+1+1+1+1+1+2+1+3+1+1+3+3)/13</f>
        <v>1.5384615384615385</v>
      </c>
    </row>
    <row r="6" spans="2:25" ht="90" thickBot="1" x14ac:dyDescent="0.3">
      <c r="B6" s="52" t="s">
        <v>68</v>
      </c>
      <c r="C6" s="3"/>
      <c r="D6" s="3" t="s">
        <v>69</v>
      </c>
      <c r="E6" s="4" t="s">
        <v>14</v>
      </c>
      <c r="F6" s="4"/>
      <c r="G6" s="4"/>
      <c r="H6" s="4" t="s">
        <v>15</v>
      </c>
      <c r="J6" s="19" t="s">
        <v>115</v>
      </c>
      <c r="K6" s="37" t="s">
        <v>125</v>
      </c>
      <c r="L6" s="37" t="s">
        <v>125</v>
      </c>
      <c r="M6" s="25">
        <v>54.666666666666664</v>
      </c>
      <c r="N6" s="25">
        <v>0</v>
      </c>
      <c r="O6" s="25">
        <v>0</v>
      </c>
      <c r="P6" s="25">
        <v>100.33333333333333</v>
      </c>
      <c r="Q6" s="25">
        <v>20</v>
      </c>
      <c r="R6" s="37" t="s">
        <v>125</v>
      </c>
      <c r="S6" s="25">
        <v>0.6</v>
      </c>
      <c r="T6" s="25">
        <v>0</v>
      </c>
      <c r="U6" s="25">
        <v>0</v>
      </c>
      <c r="V6" s="25">
        <v>-0.79057591623036649</v>
      </c>
      <c r="W6" s="25">
        <v>0</v>
      </c>
      <c r="X6" s="31">
        <f>(1+1+3+1+1+3+3+1+3+1+1+1+1)/13</f>
        <v>1.6153846153846154</v>
      </c>
      <c r="Y6" t="s">
        <v>142</v>
      </c>
    </row>
    <row r="7" spans="2:25" ht="64.5" thickBot="1" x14ac:dyDescent="0.3">
      <c r="B7" s="53"/>
      <c r="C7" s="3"/>
      <c r="D7" s="3" t="s">
        <v>70</v>
      </c>
      <c r="E7" s="4"/>
      <c r="F7" s="4" t="s">
        <v>14</v>
      </c>
      <c r="G7" s="4"/>
      <c r="H7" s="4" t="s">
        <v>18</v>
      </c>
      <c r="J7" s="19" t="s">
        <v>116</v>
      </c>
      <c r="K7" s="37" t="s">
        <v>125</v>
      </c>
      <c r="L7" s="37" t="s">
        <v>125</v>
      </c>
      <c r="M7" s="25">
        <v>2</v>
      </c>
      <c r="N7" s="25">
        <v>3.3333333333333335</v>
      </c>
      <c r="O7" s="25">
        <v>16</v>
      </c>
      <c r="P7" s="25">
        <v>1811</v>
      </c>
      <c r="Q7" s="25">
        <v>21</v>
      </c>
      <c r="R7" s="37" t="s">
        <v>125</v>
      </c>
      <c r="S7" s="25">
        <v>0</v>
      </c>
      <c r="T7" s="25">
        <v>0</v>
      </c>
      <c r="U7" s="25">
        <v>48</v>
      </c>
      <c r="V7" s="25">
        <v>0.4871630295250321</v>
      </c>
      <c r="W7" s="25">
        <v>0.15</v>
      </c>
      <c r="X7" s="31">
        <f>(1+1+1+1+3+3+3+1+1+1+3+2+1)/13</f>
        <v>1.6923076923076923</v>
      </c>
      <c r="Y7" t="s">
        <v>143</v>
      </c>
    </row>
    <row r="8" spans="2:25" ht="192" thickBot="1" x14ac:dyDescent="0.3">
      <c r="B8" s="53"/>
      <c r="C8" s="2" t="s">
        <v>71</v>
      </c>
      <c r="D8" s="3" t="s">
        <v>72</v>
      </c>
      <c r="E8" s="4"/>
      <c r="F8" s="4" t="s">
        <v>14</v>
      </c>
      <c r="G8" s="4"/>
      <c r="H8" s="4" t="s">
        <v>21</v>
      </c>
      <c r="J8" s="19" t="s">
        <v>117</v>
      </c>
      <c r="K8" s="37" t="s">
        <v>125</v>
      </c>
      <c r="L8" s="37" t="s">
        <v>125</v>
      </c>
      <c r="M8" s="25">
        <v>1.6666666666666667</v>
      </c>
      <c r="N8" s="25">
        <v>0</v>
      </c>
      <c r="O8" s="25">
        <v>0</v>
      </c>
      <c r="P8" s="25">
        <v>0.66666666666666663</v>
      </c>
      <c r="Q8" s="25">
        <v>0.33333333333333331</v>
      </c>
      <c r="R8" s="37" t="s">
        <v>125</v>
      </c>
      <c r="S8" s="25">
        <v>2</v>
      </c>
      <c r="T8" s="25">
        <v>0</v>
      </c>
      <c r="U8" s="25">
        <v>0</v>
      </c>
      <c r="V8" s="25">
        <v>1</v>
      </c>
      <c r="W8" s="25">
        <v>1</v>
      </c>
      <c r="X8" s="31">
        <f>(1+1+1+1+1+1+1+1+3+1+1+3+3)/13</f>
        <v>1.4615384615384615</v>
      </c>
    </row>
    <row r="9" spans="2:25" ht="128.25" thickBot="1" x14ac:dyDescent="0.3">
      <c r="B9" s="53"/>
      <c r="C9" s="3"/>
      <c r="D9" s="3" t="s">
        <v>73</v>
      </c>
      <c r="E9" s="4"/>
      <c r="F9" s="4" t="s">
        <v>14</v>
      </c>
      <c r="G9" s="4"/>
      <c r="H9" s="4" t="s">
        <v>18</v>
      </c>
      <c r="J9" s="19" t="s">
        <v>118</v>
      </c>
      <c r="K9" s="37" t="s">
        <v>125</v>
      </c>
      <c r="L9" s="37" t="s">
        <v>125</v>
      </c>
      <c r="M9" s="25">
        <v>26</v>
      </c>
      <c r="N9" s="25">
        <v>9.3333333333333339</v>
      </c>
      <c r="O9" s="25">
        <v>2</v>
      </c>
      <c r="P9" s="25">
        <v>5.333333333333333</v>
      </c>
      <c r="Q9" s="25">
        <v>3</v>
      </c>
      <c r="R9" s="37" t="s">
        <v>125</v>
      </c>
      <c r="S9" s="25">
        <v>-0.10714285714285714</v>
      </c>
      <c r="T9" s="25">
        <v>-0.27272727272727271</v>
      </c>
      <c r="U9" s="25">
        <v>0</v>
      </c>
      <c r="V9" s="25">
        <v>0</v>
      </c>
      <c r="W9" s="25">
        <v>0</v>
      </c>
      <c r="X9" s="31">
        <f>(1+1+2+2+1+1+2+1+1+1+1+1+1)/13</f>
        <v>1.2307692307692308</v>
      </c>
    </row>
    <row r="10" spans="2:25" ht="90" thickBot="1" x14ac:dyDescent="0.3">
      <c r="B10" s="53"/>
      <c r="C10" s="3"/>
      <c r="D10" s="3" t="s">
        <v>74</v>
      </c>
      <c r="E10" s="4"/>
      <c r="F10" s="4" t="s">
        <v>14</v>
      </c>
      <c r="G10" s="4"/>
      <c r="H10" s="4" t="s">
        <v>18</v>
      </c>
      <c r="J10" s="19" t="s">
        <v>119</v>
      </c>
      <c r="K10" s="37" t="s">
        <v>125</v>
      </c>
      <c r="L10" s="37" t="s">
        <v>125</v>
      </c>
      <c r="M10" s="25">
        <v>18</v>
      </c>
      <c r="N10" s="25">
        <v>12.333333333333334</v>
      </c>
      <c r="O10" s="25">
        <v>1.3333333333333333</v>
      </c>
      <c r="P10" s="25">
        <v>457.33333333333331</v>
      </c>
      <c r="Q10" s="25">
        <v>33.666666666666664</v>
      </c>
      <c r="R10" s="37" t="s">
        <v>125</v>
      </c>
      <c r="S10" s="25">
        <v>4.2</v>
      </c>
      <c r="T10" s="25">
        <v>6</v>
      </c>
      <c r="U10" s="25">
        <v>1</v>
      </c>
      <c r="V10" s="25">
        <v>0.45161290322580644</v>
      </c>
      <c r="W10" s="25">
        <v>0.48148148148148145</v>
      </c>
      <c r="X10" s="31">
        <f>(1+1+1+3+1+3+3+1+3+3+3+2+2)/13</f>
        <v>2.0769230769230771</v>
      </c>
      <c r="Y10" t="s">
        <v>143</v>
      </c>
    </row>
    <row r="11" spans="2:25" ht="153.75" thickBot="1" x14ac:dyDescent="0.3">
      <c r="B11" s="53"/>
      <c r="C11" s="2" t="s">
        <v>75</v>
      </c>
      <c r="D11" s="3" t="s">
        <v>76</v>
      </c>
      <c r="E11" s="4"/>
      <c r="F11" s="4" t="s">
        <v>77</v>
      </c>
      <c r="G11" s="4"/>
      <c r="H11" s="4" t="s">
        <v>18</v>
      </c>
      <c r="J11" s="19" t="s">
        <v>120</v>
      </c>
      <c r="K11" s="37" t="s">
        <v>125</v>
      </c>
      <c r="L11" s="37" t="s">
        <v>125</v>
      </c>
      <c r="M11" s="25">
        <v>1</v>
      </c>
      <c r="N11" s="25">
        <v>1</v>
      </c>
      <c r="O11" s="25">
        <v>1</v>
      </c>
      <c r="P11" s="25">
        <v>0</v>
      </c>
      <c r="Q11" s="25">
        <v>0</v>
      </c>
      <c r="R11" s="37" t="s">
        <v>125</v>
      </c>
      <c r="S11" s="25">
        <v>0</v>
      </c>
      <c r="T11" s="25">
        <v>0</v>
      </c>
      <c r="U11" s="25">
        <v>0</v>
      </c>
      <c r="V11" s="25">
        <v>0</v>
      </c>
      <c r="W11" s="25">
        <v>0</v>
      </c>
      <c r="X11" s="31">
        <f>(1+1+1+1+1+1+1+1+1+1+1+1+1)/13</f>
        <v>1</v>
      </c>
    </row>
    <row r="12" spans="2:25" ht="64.5" thickBot="1" x14ac:dyDescent="0.3">
      <c r="B12" s="53"/>
      <c r="C12" s="3"/>
      <c r="D12" s="3" t="s">
        <v>78</v>
      </c>
      <c r="E12" s="4"/>
      <c r="F12" s="4" t="s">
        <v>14</v>
      </c>
      <c r="G12" s="4"/>
      <c r="H12" s="4" t="s">
        <v>18</v>
      </c>
      <c r="J12" s="19" t="s">
        <v>121</v>
      </c>
      <c r="K12" s="37" t="s">
        <v>125</v>
      </c>
      <c r="L12" s="37" t="s">
        <v>125</v>
      </c>
      <c r="M12" s="25">
        <v>0</v>
      </c>
      <c r="N12" s="25">
        <v>2</v>
      </c>
      <c r="O12" s="25">
        <v>12</v>
      </c>
      <c r="P12" s="25">
        <v>1</v>
      </c>
      <c r="Q12" s="25">
        <v>2</v>
      </c>
      <c r="R12" s="37" t="s">
        <v>125</v>
      </c>
      <c r="S12" s="25">
        <v>0</v>
      </c>
      <c r="T12" s="25">
        <v>2</v>
      </c>
      <c r="U12" s="25">
        <v>0</v>
      </c>
      <c r="V12" s="25">
        <v>0</v>
      </c>
      <c r="W12" s="25">
        <v>0</v>
      </c>
      <c r="X12" s="31">
        <f>(1+1+1+1+3+1+2+1+1+3+1+1+1)/13</f>
        <v>1.3846153846153846</v>
      </c>
    </row>
    <row r="13" spans="2:25" ht="77.25" thickBot="1" x14ac:dyDescent="0.3">
      <c r="B13" s="53"/>
      <c r="C13" s="3"/>
      <c r="D13" s="5" t="s">
        <v>79</v>
      </c>
      <c r="E13" s="4"/>
      <c r="F13" s="4"/>
      <c r="G13" s="4" t="s">
        <v>14</v>
      </c>
      <c r="H13" s="4" t="s">
        <v>21</v>
      </c>
      <c r="J13" s="19" t="s">
        <v>122</v>
      </c>
      <c r="K13" s="37" t="s">
        <v>125</v>
      </c>
      <c r="L13" s="37" t="s">
        <v>125</v>
      </c>
      <c r="M13" s="25">
        <v>2.3333333333333335</v>
      </c>
      <c r="N13" s="25">
        <v>17.666666666666668</v>
      </c>
      <c r="O13" s="25">
        <v>6</v>
      </c>
      <c r="P13" s="25">
        <v>4653</v>
      </c>
      <c r="Q13" s="25">
        <v>1</v>
      </c>
      <c r="R13" s="37" t="s">
        <v>125</v>
      </c>
      <c r="S13" s="25">
        <v>0.5</v>
      </c>
      <c r="T13" s="25">
        <v>-0.25</v>
      </c>
      <c r="U13" s="25">
        <v>0</v>
      </c>
      <c r="V13" s="25">
        <v>0</v>
      </c>
      <c r="W13" s="25">
        <v>0</v>
      </c>
      <c r="X13" s="31">
        <f>(1+1+1+3+2+3+1+1+2+1+1+1+1)/13</f>
        <v>1.4615384615384615</v>
      </c>
      <c r="Y13" t="s">
        <v>144</v>
      </c>
    </row>
    <row r="14" spans="2:25" ht="204.75" thickBot="1" x14ac:dyDescent="0.3">
      <c r="B14" s="53"/>
      <c r="C14" s="3"/>
      <c r="D14" s="5" t="s">
        <v>80</v>
      </c>
      <c r="E14" s="4"/>
      <c r="F14" s="4"/>
      <c r="G14" s="4" t="s">
        <v>14</v>
      </c>
      <c r="H14" s="4" t="s">
        <v>21</v>
      </c>
      <c r="J14" s="20" t="s">
        <v>123</v>
      </c>
      <c r="K14" s="37" t="s">
        <v>125</v>
      </c>
      <c r="L14" s="37" t="s">
        <v>125</v>
      </c>
      <c r="M14" s="25">
        <v>12.074074074074073</v>
      </c>
      <c r="N14" s="25">
        <v>5.0740740740740744</v>
      </c>
      <c r="O14" s="25">
        <v>4.2592592592592586</v>
      </c>
      <c r="P14" s="25">
        <v>781.14814814814827</v>
      </c>
      <c r="Q14" s="25">
        <v>9.2592592592592595</v>
      </c>
      <c r="R14" s="37" t="s">
        <v>125</v>
      </c>
      <c r="S14" s="25">
        <v>0.9103174603174603</v>
      </c>
      <c r="T14" s="25">
        <v>0.83080808080808088</v>
      </c>
      <c r="U14" s="25">
        <v>5.4444444444444446</v>
      </c>
      <c r="V14" s="25">
        <v>0.23868889072449692</v>
      </c>
      <c r="W14" s="25">
        <v>0.62572016460905355</v>
      </c>
      <c r="X14" s="31">
        <f>(1+1+1+2+1+3+3+1+3+3+3+2+3)/13</f>
        <v>2.0769230769230771</v>
      </c>
      <c r="Y14" t="s">
        <v>145</v>
      </c>
    </row>
    <row r="15" spans="2:25" ht="141" thickBot="1" x14ac:dyDescent="0.3">
      <c r="B15" s="53"/>
      <c r="C15" s="3"/>
      <c r="D15" s="5" t="s">
        <v>81</v>
      </c>
      <c r="E15" s="4"/>
      <c r="F15" s="4"/>
      <c r="G15" s="4" t="s">
        <v>14</v>
      </c>
      <c r="H15" s="4" t="s">
        <v>21</v>
      </c>
    </row>
    <row r="16" spans="2:25" ht="102.75" thickBot="1" x14ac:dyDescent="0.3">
      <c r="B16" s="53"/>
      <c r="C16" s="3"/>
      <c r="D16" s="5" t="s">
        <v>82</v>
      </c>
      <c r="E16" s="4"/>
      <c r="F16" s="4"/>
      <c r="G16" s="4" t="s">
        <v>14</v>
      </c>
      <c r="H16" s="4" t="s">
        <v>21</v>
      </c>
    </row>
    <row r="17" spans="2:8" ht="166.5" thickBot="1" x14ac:dyDescent="0.3">
      <c r="B17" s="53"/>
      <c r="C17" s="3"/>
      <c r="D17" s="5" t="s">
        <v>83</v>
      </c>
      <c r="E17" s="4"/>
      <c r="F17" s="4"/>
      <c r="G17" s="4" t="s">
        <v>14</v>
      </c>
      <c r="H17" s="4" t="s">
        <v>21</v>
      </c>
    </row>
    <row r="18" spans="2:8" ht="77.25" thickBot="1" x14ac:dyDescent="0.3">
      <c r="B18" s="54"/>
      <c r="C18" s="3"/>
      <c r="D18" s="5" t="s">
        <v>84</v>
      </c>
      <c r="E18" s="4"/>
      <c r="F18" s="4"/>
      <c r="G18" s="4" t="s">
        <v>14</v>
      </c>
      <c r="H18" s="4" t="s">
        <v>31</v>
      </c>
    </row>
  </sheetData>
  <mergeCells count="7">
    <mergeCell ref="E3:G3"/>
    <mergeCell ref="H3:H4"/>
    <mergeCell ref="B5:H5"/>
    <mergeCell ref="B6:B18"/>
    <mergeCell ref="B3:B4"/>
    <mergeCell ref="C3:C4"/>
    <mergeCell ref="D3:D4"/>
  </mergeCells>
  <conditionalFormatting sqref="X5:X14">
    <cfRule type="cellIs" dxfId="81" priority="39" operator="between">
      <formula>1.6</formula>
      <formula>2</formula>
    </cfRule>
    <cfRule type="cellIs" dxfId="80" priority="40" operator="lessThan">
      <formula>1.6</formula>
    </cfRule>
    <cfRule type="cellIs" dxfId="79" priority="41" operator="greaterThan">
      <formula>2</formula>
    </cfRule>
  </conditionalFormatting>
  <conditionalFormatting sqref="K5:K13">
    <cfRule type="cellIs" dxfId="78" priority="37" operator="equal">
      <formula>"no"</formula>
    </cfRule>
    <cfRule type="cellIs" dxfId="77" priority="38" operator="equal">
      <formula>"yes"</formula>
    </cfRule>
  </conditionalFormatting>
  <conditionalFormatting sqref="K14">
    <cfRule type="cellIs" dxfId="76" priority="33" operator="equal">
      <formula>"no"</formula>
    </cfRule>
    <cfRule type="cellIs" dxfId="75" priority="34" operator="equal">
      <formula>"yes"</formula>
    </cfRule>
  </conditionalFormatting>
  <conditionalFormatting sqref="L5:L13">
    <cfRule type="cellIs" dxfId="74" priority="31" operator="equal">
      <formula>"no"</formula>
    </cfRule>
    <cfRule type="cellIs" dxfId="73" priority="32" operator="equal">
      <formula>"yes"</formula>
    </cfRule>
  </conditionalFormatting>
  <conditionalFormatting sqref="L14">
    <cfRule type="cellIs" dxfId="72" priority="29" operator="equal">
      <formula>"no"</formula>
    </cfRule>
    <cfRule type="cellIs" dxfId="71" priority="30" operator="equal">
      <formula>"yes"</formula>
    </cfRule>
  </conditionalFormatting>
  <conditionalFormatting sqref="R5:R13">
    <cfRule type="cellIs" dxfId="70" priority="27" operator="equal">
      <formula>"no"</formula>
    </cfRule>
    <cfRule type="cellIs" dxfId="69" priority="28" operator="equal">
      <formula>"yes"</formula>
    </cfRule>
  </conditionalFormatting>
  <conditionalFormatting sqref="R14">
    <cfRule type="cellIs" dxfId="68" priority="25" operator="equal">
      <formula>"no"</formula>
    </cfRule>
    <cfRule type="cellIs" dxfId="67" priority="26" operator="equal">
      <formula>"yes"</formula>
    </cfRule>
  </conditionalFormatting>
  <conditionalFormatting sqref="M5:M14">
    <cfRule type="cellIs" dxfId="66" priority="22" operator="lessThan">
      <formula>20</formula>
    </cfRule>
    <cfRule type="cellIs" dxfId="65" priority="23" operator="between">
      <formula>20</formula>
      <formula>50</formula>
    </cfRule>
    <cfRule type="cellIs" dxfId="64" priority="24" operator="greaterThan">
      <formula>50</formula>
    </cfRule>
  </conditionalFormatting>
  <conditionalFormatting sqref="N5:N14">
    <cfRule type="cellIs" dxfId="63" priority="19" operator="lessThan">
      <formula>5</formula>
    </cfRule>
    <cfRule type="cellIs" dxfId="62" priority="20" operator="between">
      <formula>5</formula>
      <formula>10</formula>
    </cfRule>
    <cfRule type="cellIs" dxfId="61" priority="21" operator="greaterThan">
      <formula>10</formula>
    </cfRule>
  </conditionalFormatting>
  <conditionalFormatting sqref="O5:O14">
    <cfRule type="cellIs" dxfId="60" priority="16" operator="lessThan">
      <formula>5</formula>
    </cfRule>
    <cfRule type="cellIs" dxfId="59" priority="17" operator="between">
      <formula>5</formula>
      <formula>10</formula>
    </cfRule>
    <cfRule type="cellIs" dxfId="58" priority="18" operator="greaterThan">
      <formula>10</formula>
    </cfRule>
  </conditionalFormatting>
  <conditionalFormatting sqref="P5:P14">
    <cfRule type="cellIs" dxfId="57" priority="13" operator="lessThan">
      <formula>50</formula>
    </cfRule>
    <cfRule type="cellIs" dxfId="56" priority="14" operator="between">
      <formula>50</formula>
      <formula>100</formula>
    </cfRule>
    <cfRule type="cellIs" dxfId="55" priority="15" operator="greaterThan">
      <formula>100</formula>
    </cfRule>
  </conditionalFormatting>
  <conditionalFormatting sqref="Q5:Q14">
    <cfRule type="cellIs" dxfId="54" priority="10" operator="lessThan">
      <formula>2</formula>
    </cfRule>
    <cfRule type="cellIs" dxfId="53" priority="11" operator="between">
      <formula>2</formula>
      <formula>3</formula>
    </cfRule>
    <cfRule type="cellIs" dxfId="52" priority="12" operator="greaterThan">
      <formula>3</formula>
    </cfRule>
  </conditionalFormatting>
  <conditionalFormatting sqref="S5:S14">
    <cfRule type="cellIs" dxfId="51" priority="7" operator="lessThan">
      <formula>0.3</formula>
    </cfRule>
    <cfRule type="cellIs" dxfId="50" priority="8" operator="between">
      <formula>0.3</formula>
      <formula>0.5</formula>
    </cfRule>
    <cfRule type="cellIs" dxfId="49" priority="9" operator="greaterThan">
      <formula>0.5</formula>
    </cfRule>
  </conditionalFormatting>
  <conditionalFormatting sqref="T5:T14">
    <cfRule type="cellIs" dxfId="48" priority="4" operator="lessThan">
      <formula>0.3</formula>
    </cfRule>
    <cfRule type="cellIs" dxfId="47" priority="5" operator="between">
      <formula>0.3</formula>
      <formula>0.5</formula>
    </cfRule>
    <cfRule type="cellIs" dxfId="46" priority="6" operator="greaterThan">
      <formula>0.5</formula>
    </cfRule>
  </conditionalFormatting>
  <conditionalFormatting sqref="U5:W14">
    <cfRule type="cellIs" dxfId="45" priority="1" operator="lessThan">
      <formula>0.3</formula>
    </cfRule>
    <cfRule type="cellIs" dxfId="44" priority="2" operator="between">
      <formula>0.3</formula>
      <formula>0.5</formula>
    </cfRule>
    <cfRule type="cellIs" dxfId="43" priority="3" operator="greaterThan">
      <formula>0.5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7"/>
  <sheetViews>
    <sheetView zoomScale="70" zoomScaleNormal="70" workbookViewId="0">
      <selection activeCell="J1" activeCellId="1" sqref="B1 J1"/>
    </sheetView>
  </sheetViews>
  <sheetFormatPr baseColWidth="10" defaultRowHeight="15.75" x14ac:dyDescent="0.25"/>
  <cols>
    <col min="18" max="18" width="11.625" bestFit="1" customWidth="1"/>
  </cols>
  <sheetData>
    <row r="1" spans="2:23" ht="23.25" x14ac:dyDescent="0.35">
      <c r="B1" s="86" t="s">
        <v>146</v>
      </c>
      <c r="J1" s="86" t="s">
        <v>113</v>
      </c>
    </row>
    <row r="2" spans="2:23" ht="16.5" thickBot="1" x14ac:dyDescent="0.3"/>
    <row r="3" spans="2:23" ht="17.100000000000001" customHeight="1" thickBot="1" x14ac:dyDescent="0.3">
      <c r="B3" s="55" t="s">
        <v>1</v>
      </c>
      <c r="C3" s="55" t="s">
        <v>2</v>
      </c>
      <c r="D3" s="55" t="s">
        <v>3</v>
      </c>
      <c r="E3" s="57" t="s">
        <v>4</v>
      </c>
      <c r="F3" s="58"/>
      <c r="G3" s="59"/>
      <c r="H3" s="55" t="s">
        <v>5</v>
      </c>
    </row>
    <row r="4" spans="2:23" ht="17.100000000000001" customHeight="1" thickBot="1" x14ac:dyDescent="0.3">
      <c r="B4" s="56"/>
      <c r="C4" s="56"/>
      <c r="D4" s="56"/>
      <c r="E4" s="1" t="s">
        <v>6</v>
      </c>
      <c r="F4" s="1" t="s">
        <v>7</v>
      </c>
      <c r="G4" s="1" t="s">
        <v>8</v>
      </c>
      <c r="H4" s="56"/>
      <c r="J4" s="42"/>
    </row>
    <row r="5" spans="2:23" ht="204.75" thickBot="1" x14ac:dyDescent="0.3">
      <c r="B5" s="57" t="s">
        <v>85</v>
      </c>
      <c r="C5" s="58"/>
      <c r="D5" s="58"/>
      <c r="E5" s="58"/>
      <c r="F5" s="58"/>
      <c r="G5" s="58"/>
      <c r="H5" s="59"/>
      <c r="J5" s="41"/>
      <c r="K5" s="16" t="s">
        <v>88</v>
      </c>
      <c r="L5" s="16" t="s">
        <v>89</v>
      </c>
      <c r="M5" s="16" t="s">
        <v>90</v>
      </c>
      <c r="N5" s="16" t="s">
        <v>92</v>
      </c>
      <c r="O5" s="16" t="s">
        <v>93</v>
      </c>
      <c r="P5" s="17" t="s">
        <v>94</v>
      </c>
      <c r="Q5" s="17" t="s">
        <v>95</v>
      </c>
      <c r="R5" s="16" t="s">
        <v>98</v>
      </c>
      <c r="S5" s="16" t="s">
        <v>99</v>
      </c>
      <c r="T5" s="16" t="s">
        <v>100</v>
      </c>
      <c r="U5" s="17" t="s">
        <v>101</v>
      </c>
      <c r="V5" s="17" t="s">
        <v>102</v>
      </c>
      <c r="W5" s="39" t="s">
        <v>141</v>
      </c>
    </row>
    <row r="6" spans="2:23" ht="141" thickBot="1" x14ac:dyDescent="0.3">
      <c r="B6" s="52" t="s">
        <v>86</v>
      </c>
      <c r="C6" s="2" t="s">
        <v>87</v>
      </c>
      <c r="D6" s="3" t="s">
        <v>88</v>
      </c>
      <c r="E6" s="4"/>
      <c r="F6" s="4" t="s">
        <v>14</v>
      </c>
      <c r="G6" s="4"/>
      <c r="H6" s="4" t="s">
        <v>21</v>
      </c>
      <c r="J6" s="19" t="s">
        <v>114</v>
      </c>
      <c r="K6" s="25">
        <v>60</v>
      </c>
      <c r="L6" s="29" t="s">
        <v>124</v>
      </c>
      <c r="M6" s="23">
        <v>65</v>
      </c>
      <c r="N6" s="23">
        <v>4</v>
      </c>
      <c r="O6" s="29" t="s">
        <v>124</v>
      </c>
      <c r="P6" s="25">
        <v>170</v>
      </c>
      <c r="Q6" s="25">
        <v>12</v>
      </c>
      <c r="R6" s="25">
        <v>17.333333333333332</v>
      </c>
      <c r="S6" s="25">
        <v>0</v>
      </c>
      <c r="T6" s="29" t="s">
        <v>125</v>
      </c>
      <c r="U6" s="25">
        <v>0</v>
      </c>
      <c r="V6" s="25">
        <v>0</v>
      </c>
      <c r="W6" s="31">
        <f>(3+3+2+3+3+3+3+1+1+1+1+1)/12</f>
        <v>2.0833333333333335</v>
      </c>
    </row>
    <row r="7" spans="2:23" ht="90" thickBot="1" x14ac:dyDescent="0.3">
      <c r="B7" s="53"/>
      <c r="C7" s="3"/>
      <c r="D7" s="3" t="s">
        <v>89</v>
      </c>
      <c r="E7" s="4" t="s">
        <v>14</v>
      </c>
      <c r="F7" s="4"/>
      <c r="G7" s="4"/>
      <c r="H7" s="4" t="s">
        <v>15</v>
      </c>
      <c r="J7" s="19" t="s">
        <v>115</v>
      </c>
      <c r="K7" s="25">
        <v>0</v>
      </c>
      <c r="L7" s="37" t="s">
        <v>124</v>
      </c>
      <c r="M7" s="25">
        <v>0</v>
      </c>
      <c r="N7" s="25">
        <v>0</v>
      </c>
      <c r="O7" s="37" t="s">
        <v>125</v>
      </c>
      <c r="P7" s="25">
        <v>0</v>
      </c>
      <c r="Q7" s="25">
        <v>0</v>
      </c>
      <c r="R7" s="25">
        <v>0</v>
      </c>
      <c r="S7" s="25">
        <v>0</v>
      </c>
      <c r="T7" s="37" t="s">
        <v>125</v>
      </c>
      <c r="U7" s="25">
        <v>0</v>
      </c>
      <c r="V7" s="25">
        <v>0</v>
      </c>
      <c r="W7" s="31">
        <f>(1+3+1+1+1+1+1+1+1+1+1+1)/12</f>
        <v>1.1666666666666667</v>
      </c>
    </row>
    <row r="8" spans="2:23" ht="64.5" thickBot="1" x14ac:dyDescent="0.3">
      <c r="B8" s="53"/>
      <c r="C8" s="2"/>
      <c r="D8" s="3" t="s">
        <v>90</v>
      </c>
      <c r="E8" s="4"/>
      <c r="F8" s="4" t="s">
        <v>14</v>
      </c>
      <c r="G8" s="4"/>
      <c r="H8" s="4" t="s">
        <v>18</v>
      </c>
      <c r="J8" s="19" t="s">
        <v>116</v>
      </c>
      <c r="K8" s="25">
        <v>3.3333333333333335</v>
      </c>
      <c r="L8" s="37" t="s">
        <v>124</v>
      </c>
      <c r="M8" s="25">
        <v>150</v>
      </c>
      <c r="N8" s="25">
        <v>0</v>
      </c>
      <c r="O8" s="37" t="s">
        <v>125</v>
      </c>
      <c r="P8" s="25">
        <v>1</v>
      </c>
      <c r="Q8" s="25">
        <v>0</v>
      </c>
      <c r="R8" s="25">
        <v>0</v>
      </c>
      <c r="S8" s="25">
        <v>4</v>
      </c>
      <c r="T8" s="37" t="s">
        <v>124</v>
      </c>
      <c r="U8" s="25">
        <v>0</v>
      </c>
      <c r="V8" s="25">
        <v>12</v>
      </c>
      <c r="W8" s="31">
        <f>(1+3+3+1+1+3+1+1+1+3+1+3)/12</f>
        <v>1.8333333333333333</v>
      </c>
    </row>
    <row r="9" spans="2:23" ht="192" thickBot="1" x14ac:dyDescent="0.3">
      <c r="B9" s="53"/>
      <c r="C9" s="2" t="s">
        <v>91</v>
      </c>
      <c r="D9" s="3" t="s">
        <v>92</v>
      </c>
      <c r="E9" s="4"/>
      <c r="F9" s="4" t="s">
        <v>14</v>
      </c>
      <c r="G9" s="4"/>
      <c r="H9" s="4" t="s">
        <v>21</v>
      </c>
      <c r="J9" s="19" t="s">
        <v>117</v>
      </c>
      <c r="K9" s="25">
        <v>1</v>
      </c>
      <c r="L9" s="37" t="s">
        <v>124</v>
      </c>
      <c r="M9" s="25">
        <v>53.333333333333336</v>
      </c>
      <c r="N9" s="25">
        <v>0</v>
      </c>
      <c r="O9" s="37" t="s">
        <v>125</v>
      </c>
      <c r="P9" s="25">
        <v>0</v>
      </c>
      <c r="Q9" s="25">
        <v>0</v>
      </c>
      <c r="R9" s="25">
        <v>0</v>
      </c>
      <c r="S9" s="25">
        <v>0</v>
      </c>
      <c r="T9" s="37" t="s">
        <v>124</v>
      </c>
      <c r="U9" s="25">
        <v>0</v>
      </c>
      <c r="V9" s="25">
        <v>0</v>
      </c>
      <c r="W9" s="31">
        <f>(1+3+2+1+1+1+1+1+1+3+1+1)/12</f>
        <v>1.4166666666666667</v>
      </c>
    </row>
    <row r="10" spans="2:23" ht="90" thickBot="1" x14ac:dyDescent="0.3">
      <c r="B10" s="53"/>
      <c r="C10" s="3"/>
      <c r="D10" s="3" t="s">
        <v>93</v>
      </c>
      <c r="E10" s="4"/>
      <c r="F10" s="4" t="s">
        <v>14</v>
      </c>
      <c r="G10" s="4"/>
      <c r="H10" s="4" t="s">
        <v>15</v>
      </c>
      <c r="J10" s="19" t="s">
        <v>118</v>
      </c>
      <c r="K10" s="25">
        <v>100</v>
      </c>
      <c r="L10" s="37" t="s">
        <v>124</v>
      </c>
      <c r="M10" s="25">
        <v>91.666666666666671</v>
      </c>
      <c r="N10" s="25">
        <v>4.333333333333333</v>
      </c>
      <c r="O10" s="37" t="s">
        <v>125</v>
      </c>
      <c r="P10" s="25">
        <v>-0.31818181818181818</v>
      </c>
      <c r="Q10" s="25">
        <v>-0.2</v>
      </c>
      <c r="R10" s="25">
        <v>100</v>
      </c>
      <c r="S10" s="25">
        <v>100</v>
      </c>
      <c r="T10" s="37" t="s">
        <v>124</v>
      </c>
      <c r="U10" s="25">
        <v>0</v>
      </c>
      <c r="V10" s="25">
        <v>0</v>
      </c>
      <c r="W10" s="31">
        <f>(3+3+2+3+1+1+1+3+3+3+1+1)/12</f>
        <v>2.0833333333333335</v>
      </c>
    </row>
    <row r="11" spans="2:23" ht="77.25" thickBot="1" x14ac:dyDescent="0.3">
      <c r="B11" s="53"/>
      <c r="C11" s="3"/>
      <c r="D11" s="5" t="s">
        <v>94</v>
      </c>
      <c r="E11" s="4"/>
      <c r="F11" s="4"/>
      <c r="G11" s="4" t="s">
        <v>14</v>
      </c>
      <c r="H11" s="4" t="s">
        <v>21</v>
      </c>
      <c r="J11" s="19" t="s">
        <v>119</v>
      </c>
      <c r="K11" s="25">
        <v>6.666666666666667</v>
      </c>
      <c r="L11" s="37" t="s">
        <v>124</v>
      </c>
      <c r="M11" s="25">
        <v>0</v>
      </c>
      <c r="N11" s="25">
        <v>0</v>
      </c>
      <c r="O11" s="37" t="s">
        <v>125</v>
      </c>
      <c r="P11" s="25">
        <v>0</v>
      </c>
      <c r="Q11" s="25">
        <v>0</v>
      </c>
      <c r="R11" s="25">
        <v>0</v>
      </c>
      <c r="S11" s="25">
        <v>0</v>
      </c>
      <c r="T11" s="37" t="s">
        <v>125</v>
      </c>
      <c r="U11" s="25">
        <v>0</v>
      </c>
      <c r="V11" s="25">
        <v>0</v>
      </c>
      <c r="W11" s="31">
        <f>(1+3+1+1+1+1+1+1+1+1+1+1)/12</f>
        <v>1.1666666666666667</v>
      </c>
    </row>
    <row r="12" spans="2:23" ht="204.75" thickBot="1" x14ac:dyDescent="0.3">
      <c r="B12" s="54"/>
      <c r="C12" s="3"/>
      <c r="D12" s="5" t="s">
        <v>95</v>
      </c>
      <c r="E12" s="4"/>
      <c r="F12" s="4"/>
      <c r="G12" s="4" t="s">
        <v>14</v>
      </c>
      <c r="H12" s="4" t="s">
        <v>31</v>
      </c>
      <c r="J12" s="19" t="s">
        <v>120</v>
      </c>
      <c r="K12" s="25">
        <v>61</v>
      </c>
      <c r="L12" s="37" t="s">
        <v>125</v>
      </c>
      <c r="M12" s="25">
        <v>110.33333333333333</v>
      </c>
      <c r="N12" s="25">
        <v>0</v>
      </c>
      <c r="O12" s="37" t="s">
        <v>125</v>
      </c>
      <c r="P12" s="25">
        <v>0.84705882352941175</v>
      </c>
      <c r="Q12" s="25">
        <v>0</v>
      </c>
      <c r="R12" s="25">
        <v>0</v>
      </c>
      <c r="S12" s="25">
        <v>0</v>
      </c>
      <c r="T12" s="37" t="s">
        <v>124</v>
      </c>
      <c r="U12" s="25">
        <v>0</v>
      </c>
      <c r="V12" s="25">
        <v>0</v>
      </c>
      <c r="W12" s="31">
        <f>(3+1+3+1+1+3+1+1+1+3+1+1)/12</f>
        <v>1.6666666666666667</v>
      </c>
    </row>
    <row r="13" spans="2:23" ht="115.5" thickBot="1" x14ac:dyDescent="0.3">
      <c r="B13" s="52" t="s">
        <v>96</v>
      </c>
      <c r="C13" s="2" t="s">
        <v>97</v>
      </c>
      <c r="D13" s="3" t="s">
        <v>98</v>
      </c>
      <c r="E13" s="4"/>
      <c r="F13" s="4" t="s">
        <v>14</v>
      </c>
      <c r="G13" s="4"/>
      <c r="H13" s="4" t="s">
        <v>21</v>
      </c>
      <c r="J13" s="19" t="s">
        <v>121</v>
      </c>
      <c r="K13" s="25">
        <v>50</v>
      </c>
      <c r="L13" s="37" t="s">
        <v>124</v>
      </c>
      <c r="M13" s="25">
        <v>250</v>
      </c>
      <c r="N13" s="25">
        <v>0</v>
      </c>
      <c r="O13" s="37" t="s">
        <v>125</v>
      </c>
      <c r="P13" s="25">
        <v>0.5</v>
      </c>
      <c r="Q13" s="25">
        <v>0</v>
      </c>
      <c r="R13" s="25">
        <v>0</v>
      </c>
      <c r="S13" s="25">
        <v>0</v>
      </c>
      <c r="T13" s="37" t="s">
        <v>125</v>
      </c>
      <c r="U13" s="25">
        <v>0</v>
      </c>
      <c r="V13" s="25">
        <v>0</v>
      </c>
      <c r="W13" s="31">
        <f>(2+3+3+1+1+2+1+1+1+1+1+1)/12</f>
        <v>1.5</v>
      </c>
    </row>
    <row r="14" spans="2:23" ht="115.5" thickBot="1" x14ac:dyDescent="0.3">
      <c r="B14" s="53"/>
      <c r="C14" s="3"/>
      <c r="D14" s="3" t="s">
        <v>99</v>
      </c>
      <c r="E14" s="4"/>
      <c r="F14" s="4" t="s">
        <v>14</v>
      </c>
      <c r="G14" s="4"/>
      <c r="H14" s="4" t="s">
        <v>21</v>
      </c>
      <c r="J14" s="19" t="s">
        <v>122</v>
      </c>
      <c r="K14" s="25">
        <v>40</v>
      </c>
      <c r="L14" s="37" t="s">
        <v>124</v>
      </c>
      <c r="M14" s="25">
        <v>280</v>
      </c>
      <c r="N14" s="25">
        <v>2</v>
      </c>
      <c r="O14" s="37" t="s">
        <v>125</v>
      </c>
      <c r="P14" s="25">
        <v>-0.13333333333333333</v>
      </c>
      <c r="Q14" s="25">
        <v>0</v>
      </c>
      <c r="R14" s="25">
        <v>1</v>
      </c>
      <c r="S14" s="25">
        <v>3</v>
      </c>
      <c r="T14" s="37" t="s">
        <v>124</v>
      </c>
      <c r="U14" s="25">
        <v>0</v>
      </c>
      <c r="V14" s="25">
        <v>0</v>
      </c>
      <c r="W14" s="31">
        <f>(2+3+3+3+1+1+1+1+1+3+1+1)/12</f>
        <v>1.75</v>
      </c>
    </row>
    <row r="15" spans="2:23" ht="115.5" thickBot="1" x14ac:dyDescent="0.3">
      <c r="B15" s="53"/>
      <c r="C15" s="3"/>
      <c r="D15" s="3" t="s">
        <v>100</v>
      </c>
      <c r="E15" s="4" t="s">
        <v>14</v>
      </c>
      <c r="F15" s="4"/>
      <c r="G15" s="4"/>
      <c r="H15" s="4" t="s">
        <v>15</v>
      </c>
      <c r="J15" s="20" t="s">
        <v>123</v>
      </c>
      <c r="K15" s="25">
        <v>35.777777777777779</v>
      </c>
      <c r="L15" s="37" t="s">
        <v>124</v>
      </c>
      <c r="M15" s="25">
        <v>111.14814814814814</v>
      </c>
      <c r="N15" s="25">
        <v>1.1481481481481499</v>
      </c>
      <c r="O15" s="37" t="s">
        <v>125</v>
      </c>
      <c r="P15" s="25">
        <v>19.099504852446032</v>
      </c>
      <c r="Q15" s="25">
        <v>1.3111111111111111</v>
      </c>
      <c r="R15" s="25">
        <v>13.148148148148147</v>
      </c>
      <c r="S15" s="25">
        <v>11.888888888888889</v>
      </c>
      <c r="T15" s="37" t="s">
        <v>124</v>
      </c>
      <c r="U15" s="25">
        <v>0</v>
      </c>
      <c r="V15" s="25">
        <v>1.3333333333333333</v>
      </c>
      <c r="W15" s="31">
        <f>(2+3+3+3+1+3+3+1+1+3+1+3)/12</f>
        <v>2.25</v>
      </c>
    </row>
    <row r="16" spans="2:23" ht="141" thickBot="1" x14ac:dyDescent="0.3">
      <c r="B16" s="53"/>
      <c r="C16" s="3"/>
      <c r="D16" s="5" t="s">
        <v>101</v>
      </c>
      <c r="E16" s="4"/>
      <c r="F16" s="4"/>
      <c r="G16" s="4" t="s">
        <v>14</v>
      </c>
      <c r="H16" s="4" t="s">
        <v>21</v>
      </c>
      <c r="W16" s="40"/>
    </row>
    <row r="17" spans="2:8" ht="141" thickBot="1" x14ac:dyDescent="0.3">
      <c r="B17" s="54"/>
      <c r="C17" s="3"/>
      <c r="D17" s="5" t="s">
        <v>102</v>
      </c>
      <c r="E17" s="4"/>
      <c r="F17" s="4"/>
      <c r="G17" s="4" t="s">
        <v>14</v>
      </c>
      <c r="H17" s="4" t="s">
        <v>31</v>
      </c>
    </row>
  </sheetData>
  <mergeCells count="8">
    <mergeCell ref="B6:B12"/>
    <mergeCell ref="B13:B17"/>
    <mergeCell ref="B5:H5"/>
    <mergeCell ref="B3:B4"/>
    <mergeCell ref="C3:C4"/>
    <mergeCell ref="D3:D4"/>
    <mergeCell ref="E3:G3"/>
    <mergeCell ref="H3:H4"/>
  </mergeCells>
  <conditionalFormatting sqref="W6:W15">
    <cfRule type="cellIs" dxfId="42" priority="34" operator="between">
      <formula>1.6</formula>
      <formula>2</formula>
    </cfRule>
    <cfRule type="cellIs" dxfId="41" priority="35" operator="lessThan">
      <formula>1.6</formula>
    </cfRule>
    <cfRule type="cellIs" dxfId="40" priority="36" operator="greaterThan">
      <formula>2</formula>
    </cfRule>
  </conditionalFormatting>
  <conditionalFormatting sqref="L6:L14">
    <cfRule type="cellIs" dxfId="39" priority="32" operator="equal">
      <formula>"no"</formula>
    </cfRule>
    <cfRule type="cellIs" dxfId="38" priority="33" operator="equal">
      <formula>"yes"</formula>
    </cfRule>
  </conditionalFormatting>
  <conditionalFormatting sqref="L15">
    <cfRule type="cellIs" dxfId="37" priority="30" operator="equal">
      <formula>"no"</formula>
    </cfRule>
    <cfRule type="cellIs" dxfId="36" priority="31" operator="equal">
      <formula>"yes"</formula>
    </cfRule>
  </conditionalFormatting>
  <conditionalFormatting sqref="O6:O14">
    <cfRule type="cellIs" dxfId="35" priority="28" operator="equal">
      <formula>"no"</formula>
    </cfRule>
    <cfRule type="cellIs" dxfId="34" priority="29" operator="equal">
      <formula>"yes"</formula>
    </cfRule>
  </conditionalFormatting>
  <conditionalFormatting sqref="O15">
    <cfRule type="cellIs" dxfId="33" priority="26" operator="equal">
      <formula>"no"</formula>
    </cfRule>
    <cfRule type="cellIs" dxfId="32" priority="27" operator="equal">
      <formula>"yes"</formula>
    </cfRule>
  </conditionalFormatting>
  <conditionalFormatting sqref="T6:T14">
    <cfRule type="cellIs" dxfId="31" priority="24" operator="equal">
      <formula>"no"</formula>
    </cfRule>
    <cfRule type="cellIs" dxfId="30" priority="25" operator="equal">
      <formula>"yes"</formula>
    </cfRule>
  </conditionalFormatting>
  <conditionalFormatting sqref="T15">
    <cfRule type="cellIs" dxfId="29" priority="22" operator="equal">
      <formula>"no"</formula>
    </cfRule>
    <cfRule type="cellIs" dxfId="28" priority="23" operator="equal">
      <formula>"yes"</formula>
    </cfRule>
  </conditionalFormatting>
  <conditionalFormatting sqref="K6:K15">
    <cfRule type="cellIs" dxfId="27" priority="19" operator="lessThan">
      <formula>30</formula>
    </cfRule>
    <cfRule type="cellIs" dxfId="26" priority="20" operator="between">
      <formula>30</formula>
      <formula>50</formula>
    </cfRule>
    <cfRule type="cellIs" dxfId="25" priority="21" operator="greaterThan">
      <formula>50</formula>
    </cfRule>
  </conditionalFormatting>
  <conditionalFormatting sqref="M6:M15">
    <cfRule type="cellIs" dxfId="24" priority="16" operator="lessThan">
      <formula>50</formula>
    </cfRule>
    <cfRule type="cellIs" dxfId="23" priority="17" operator="between">
      <formula>50</formula>
      <formula>100</formula>
    </cfRule>
    <cfRule type="cellIs" dxfId="22" priority="18" operator="greaterThan">
      <formula>100</formula>
    </cfRule>
  </conditionalFormatting>
  <conditionalFormatting sqref="N6:N15">
    <cfRule type="cellIs" dxfId="21" priority="13" operator="lessThan">
      <formula>0.2</formula>
    </cfRule>
    <cfRule type="cellIs" dxfId="20" priority="14" operator="between">
      <formula>0.2</formula>
      <formula>0.3</formula>
    </cfRule>
    <cfRule type="cellIs" dxfId="19" priority="15" operator="greaterThan">
      <formula>0.3</formula>
    </cfRule>
  </conditionalFormatting>
  <conditionalFormatting sqref="P6:Q15">
    <cfRule type="cellIs" dxfId="18" priority="10" operator="lessThan">
      <formula>0.3</formula>
    </cfRule>
    <cfRule type="cellIs" dxfId="17" priority="11" operator="between">
      <formula>0.3</formula>
      <formula>0.5</formula>
    </cfRule>
    <cfRule type="cellIs" dxfId="16" priority="12" operator="greaterThan">
      <formula>0.5</formula>
    </cfRule>
  </conditionalFormatting>
  <conditionalFormatting sqref="U6:V15">
    <cfRule type="cellIs" dxfId="15" priority="7" operator="lessThan">
      <formula>0.3</formula>
    </cfRule>
    <cfRule type="cellIs" dxfId="14" priority="8" operator="between">
      <formula>0.3</formula>
      <formula>0.5</formula>
    </cfRule>
    <cfRule type="cellIs" dxfId="13" priority="9" operator="greaterThan">
      <formula>0.5</formula>
    </cfRule>
  </conditionalFormatting>
  <conditionalFormatting sqref="R6:R15">
    <cfRule type="cellIs" dxfId="12" priority="4" operator="lessThan">
      <formula>30</formula>
    </cfRule>
    <cfRule type="cellIs" dxfId="11" priority="5" operator="between">
      <formula>30</formula>
      <formula>50</formula>
    </cfRule>
    <cfRule type="cellIs" dxfId="10" priority="6" operator="greaterThan">
      <formula>50</formula>
    </cfRule>
  </conditionalFormatting>
  <conditionalFormatting sqref="S6:S15">
    <cfRule type="cellIs" dxfId="9" priority="1" operator="lessThan">
      <formula>30</formula>
    </cfRule>
    <cfRule type="cellIs" dxfId="8" priority="2" operator="between">
      <formula>30</formula>
      <formula>50</formula>
    </cfRule>
    <cfRule type="cellIs" dxfId="7" priority="3" operator="greaterThan">
      <formula>50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6"/>
  <sheetViews>
    <sheetView workbookViewId="0">
      <selection activeCell="J1" activeCellId="1" sqref="B1 J1"/>
    </sheetView>
  </sheetViews>
  <sheetFormatPr baseColWidth="10" defaultRowHeight="15.75" x14ac:dyDescent="0.25"/>
  <sheetData>
    <row r="1" spans="2:13" ht="23.25" x14ac:dyDescent="0.35">
      <c r="B1" s="86" t="s">
        <v>146</v>
      </c>
      <c r="J1" s="86" t="s">
        <v>113</v>
      </c>
    </row>
    <row r="2" spans="2:13" ht="16.5" thickBot="1" x14ac:dyDescent="0.3"/>
    <row r="3" spans="2:13" ht="17.100000000000001" customHeight="1" thickBot="1" x14ac:dyDescent="0.3">
      <c r="B3" s="55" t="s">
        <v>1</v>
      </c>
      <c r="C3" s="55" t="s">
        <v>2</v>
      </c>
      <c r="D3" s="55" t="s">
        <v>3</v>
      </c>
      <c r="E3" s="57" t="s">
        <v>4</v>
      </c>
      <c r="F3" s="58"/>
      <c r="G3" s="59"/>
      <c r="H3" s="55" t="s">
        <v>5</v>
      </c>
    </row>
    <row r="4" spans="2:13" ht="17.100000000000001" customHeight="1" thickBot="1" x14ac:dyDescent="0.3">
      <c r="B4" s="56"/>
      <c r="C4" s="56"/>
      <c r="D4" s="56"/>
      <c r="E4" s="1" t="s">
        <v>6</v>
      </c>
      <c r="F4" s="1" t="s">
        <v>7</v>
      </c>
      <c r="G4" s="1" t="s">
        <v>8</v>
      </c>
      <c r="H4" s="56"/>
      <c r="J4" s="42"/>
      <c r="K4" s="44"/>
      <c r="L4" s="44"/>
      <c r="M4" s="42"/>
    </row>
    <row r="5" spans="2:13" ht="115.5" thickBot="1" x14ac:dyDescent="0.3">
      <c r="B5" s="57" t="s">
        <v>103</v>
      </c>
      <c r="C5" s="58"/>
      <c r="D5" s="58"/>
      <c r="E5" s="58"/>
      <c r="F5" s="58"/>
      <c r="G5" s="58"/>
      <c r="H5" s="59"/>
      <c r="J5" s="41"/>
      <c r="K5" s="16" t="s">
        <v>105</v>
      </c>
      <c r="L5" s="43" t="s">
        <v>107</v>
      </c>
      <c r="M5" s="45" t="s">
        <v>141</v>
      </c>
    </row>
    <row r="6" spans="2:13" ht="102.75" thickBot="1" x14ac:dyDescent="0.3">
      <c r="B6" s="81"/>
      <c r="C6" s="2" t="s">
        <v>104</v>
      </c>
      <c r="D6" s="3" t="s">
        <v>105</v>
      </c>
      <c r="E6" s="4" t="s">
        <v>14</v>
      </c>
      <c r="F6" s="4"/>
      <c r="G6" s="4"/>
      <c r="H6" s="4" t="s">
        <v>15</v>
      </c>
      <c r="J6" s="46" t="s">
        <v>114</v>
      </c>
      <c r="K6" s="29" t="s">
        <v>125</v>
      </c>
      <c r="L6" s="29" t="s">
        <v>124</v>
      </c>
      <c r="M6" s="31">
        <f>(1+3)/2</f>
        <v>2</v>
      </c>
    </row>
    <row r="7" spans="2:13" ht="115.5" thickBot="1" x14ac:dyDescent="0.3">
      <c r="B7" s="82"/>
      <c r="C7" s="2" t="s">
        <v>106</v>
      </c>
      <c r="D7" s="3" t="s">
        <v>107</v>
      </c>
      <c r="E7" s="4" t="s">
        <v>14</v>
      </c>
      <c r="F7" s="4"/>
      <c r="G7" s="4"/>
      <c r="H7" s="4" t="s">
        <v>15</v>
      </c>
      <c r="J7" s="46" t="s">
        <v>115</v>
      </c>
      <c r="K7" s="37" t="s">
        <v>124</v>
      </c>
      <c r="L7" s="37" t="s">
        <v>124</v>
      </c>
      <c r="M7" s="31">
        <f>(3+3)/2</f>
        <v>3</v>
      </c>
    </row>
    <row r="8" spans="2:13" ht="38.25" x14ac:dyDescent="0.25">
      <c r="J8" s="46" t="s">
        <v>116</v>
      </c>
      <c r="K8" s="37" t="s">
        <v>124</v>
      </c>
      <c r="L8" s="37" t="s">
        <v>124</v>
      </c>
      <c r="M8" s="31">
        <f>(3+3)/2</f>
        <v>3</v>
      </c>
    </row>
    <row r="9" spans="2:13" ht="25.5" x14ac:dyDescent="0.25">
      <c r="J9" s="46" t="s">
        <v>117</v>
      </c>
      <c r="K9" s="37" t="s">
        <v>124</v>
      </c>
      <c r="L9" s="37" t="s">
        <v>124</v>
      </c>
      <c r="M9" s="31">
        <f>(3+3)/2</f>
        <v>3</v>
      </c>
    </row>
    <row r="10" spans="2:13" ht="89.25" x14ac:dyDescent="0.25">
      <c r="J10" s="46" t="s">
        <v>118</v>
      </c>
      <c r="K10" s="37" t="s">
        <v>125</v>
      </c>
      <c r="L10" s="37" t="s">
        <v>125</v>
      </c>
      <c r="M10" s="31">
        <f>(1+1)/2</f>
        <v>1</v>
      </c>
    </row>
    <row r="11" spans="2:13" ht="38.25" x14ac:dyDescent="0.25">
      <c r="J11" s="46" t="s">
        <v>119</v>
      </c>
      <c r="K11" s="37" t="s">
        <v>124</v>
      </c>
      <c r="L11" s="37" t="s">
        <v>124</v>
      </c>
      <c r="M11" s="31">
        <f>(3+3)/2</f>
        <v>3</v>
      </c>
    </row>
    <row r="12" spans="2:13" ht="25.5" x14ac:dyDescent="0.25">
      <c r="J12" s="46" t="s">
        <v>120</v>
      </c>
      <c r="K12" s="37" t="s">
        <v>125</v>
      </c>
      <c r="L12" s="37" t="s">
        <v>125</v>
      </c>
      <c r="M12" s="31">
        <f>(1+1)/2</f>
        <v>1</v>
      </c>
    </row>
    <row r="13" spans="2:13" ht="38.25" x14ac:dyDescent="0.25">
      <c r="J13" s="46" t="s">
        <v>121</v>
      </c>
      <c r="K13" s="37" t="s">
        <v>124</v>
      </c>
      <c r="L13" s="37" t="s">
        <v>124</v>
      </c>
      <c r="M13" s="31">
        <f>(3+3)/2</f>
        <v>3</v>
      </c>
    </row>
    <row r="14" spans="2:13" ht="25.5" x14ac:dyDescent="0.25">
      <c r="J14" s="46" t="s">
        <v>122</v>
      </c>
      <c r="K14" s="37" t="s">
        <v>125</v>
      </c>
      <c r="L14" s="37" t="s">
        <v>125</v>
      </c>
      <c r="M14" s="31">
        <f>(1+1)/2</f>
        <v>1</v>
      </c>
    </row>
    <row r="15" spans="2:13" ht="25.5" x14ac:dyDescent="0.25">
      <c r="J15" s="47" t="s">
        <v>123</v>
      </c>
      <c r="K15" s="37" t="s">
        <v>124</v>
      </c>
      <c r="L15" s="37" t="s">
        <v>124</v>
      </c>
      <c r="M15" s="31">
        <f>(3+3)/2</f>
        <v>3</v>
      </c>
    </row>
    <row r="16" spans="2:13" ht="18.75" x14ac:dyDescent="0.25">
      <c r="M16" s="49"/>
    </row>
  </sheetData>
  <mergeCells count="7">
    <mergeCell ref="B5:H5"/>
    <mergeCell ref="B6:B7"/>
    <mergeCell ref="B3:B4"/>
    <mergeCell ref="C3:C4"/>
    <mergeCell ref="D3:D4"/>
    <mergeCell ref="E3:G3"/>
    <mergeCell ref="H3:H4"/>
  </mergeCells>
  <conditionalFormatting sqref="M6:M15">
    <cfRule type="cellIs" dxfId="6" priority="5" operator="between">
      <formula>1.6</formula>
      <formula>2</formula>
    </cfRule>
    <cfRule type="cellIs" dxfId="5" priority="6" operator="lessThan">
      <formula>1.6</formula>
    </cfRule>
    <cfRule type="cellIs" dxfId="4" priority="7" operator="greaterThan">
      <formula>2</formula>
    </cfRule>
  </conditionalFormatting>
  <conditionalFormatting sqref="K6:L14">
    <cfRule type="cellIs" dxfId="3" priority="3" operator="equal">
      <formula>"no"</formula>
    </cfRule>
    <cfRule type="cellIs" dxfId="2" priority="4" operator="equal">
      <formula>"yes"</formula>
    </cfRule>
  </conditionalFormatting>
  <conditionalFormatting sqref="K15:L15">
    <cfRule type="cellIs" dxfId="1" priority="1" operator="equal">
      <formula>"no"</formula>
    </cfRule>
    <cfRule type="cellIs" dxfId="0" priority="2" operator="equal">
      <formula>"yes"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Intro</vt:lpstr>
      <vt:lpstr>Staff</vt:lpstr>
      <vt:lpstr>Students</vt:lpstr>
      <vt:lpstr>IRO</vt:lpstr>
      <vt:lpstr>Budget</vt:lpstr>
      <vt:lpstr>Research</vt:lpstr>
      <vt:lpstr>Education</vt:lpstr>
      <vt:lpstr>Promotion</vt:lpstr>
      <vt:lpstr>Intro!_ftnref1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Uwe Manfred Brandenburg .</dc:creator>
  <cp:lastModifiedBy>Hedderich, Jakob Johannes</cp:lastModifiedBy>
  <dcterms:created xsi:type="dcterms:W3CDTF">2019-04-24T07:05:54Z</dcterms:created>
  <dcterms:modified xsi:type="dcterms:W3CDTF">2020-12-13T07:37:14Z</dcterms:modified>
</cp:coreProperties>
</file>